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1980" windowWidth="15345" windowHeight="7515" tabRatio="127"/>
  </bookViews>
  <sheets>
    <sheet name="budget" sheetId="1" r:id="rId1"/>
  </sheets>
  <definedNames>
    <definedName name="\A">budget!#REF!</definedName>
    <definedName name="\B">budget!#REF!</definedName>
    <definedName name="_xlnm.Print_Area" localSheetId="0">budget!$A$1:$AF$58</definedName>
    <definedName name="_xlnm.Print_Area">budget!$A$310:$F$312</definedName>
    <definedName name="_xlnm.Print_Titles" localSheetId="0">budget!$1:$3</definedName>
    <definedName name="_xlnm.Print_Titles">budget!$1:$4</definedName>
  </definedNames>
  <calcPr calcId="144525"/>
</workbook>
</file>

<file path=xl/calcChain.xml><?xml version="1.0" encoding="utf-8"?>
<calcChain xmlns="http://schemas.openxmlformats.org/spreadsheetml/2006/main">
  <c r="AA293" i="1" l="1"/>
  <c r="AD293" i="1" s="1"/>
  <c r="AF293" i="1" s="1"/>
  <c r="AA291" i="1"/>
  <c r="AD291" i="1" s="1"/>
  <c r="AA289" i="1"/>
  <c r="AD289" i="1" s="1"/>
  <c r="AA284" i="1"/>
  <c r="AD284" i="1" s="1"/>
  <c r="AF284" i="1" s="1"/>
  <c r="AA292" i="1"/>
  <c r="AD292" i="1" s="1"/>
  <c r="AF292" i="1" s="1"/>
  <c r="AA290" i="1"/>
  <c r="AD290" i="1" s="1"/>
  <c r="AF290" i="1" s="1"/>
  <c r="AA287" i="1"/>
  <c r="AD287" i="1" s="1"/>
  <c r="AF287" i="1" s="1"/>
  <c r="AA286" i="1"/>
  <c r="AD286" i="1" s="1"/>
  <c r="AF286" i="1" s="1"/>
  <c r="AA285" i="1"/>
  <c r="AD285" i="1" s="1"/>
  <c r="AF285" i="1" s="1"/>
  <c r="AA305" i="1"/>
  <c r="AA304" i="1"/>
  <c r="AA303" i="1"/>
  <c r="AA302" i="1"/>
  <c r="AA301" i="1"/>
  <c r="AA300" i="1"/>
  <c r="AA299" i="1"/>
  <c r="AA298" i="1"/>
  <c r="AD305" i="1"/>
  <c r="AD304" i="1"/>
  <c r="AD303" i="1"/>
  <c r="AD302" i="1"/>
  <c r="AD301" i="1"/>
  <c r="AD300" i="1"/>
  <c r="AD299" i="1"/>
  <c r="AD298" i="1"/>
  <c r="AA269" i="1"/>
  <c r="AD269" i="1" s="1"/>
  <c r="AF269" i="1" s="1"/>
  <c r="AA268" i="1"/>
  <c r="AD268" i="1" s="1"/>
  <c r="AF268" i="1" s="1"/>
  <c r="AA267" i="1"/>
  <c r="AD267" i="1" s="1"/>
  <c r="AF267" i="1" s="1"/>
  <c r="AA266" i="1"/>
  <c r="AD266" i="1" s="1"/>
  <c r="AF266" i="1" s="1"/>
  <c r="AA265" i="1"/>
  <c r="AD265" i="1" s="1"/>
  <c r="AA263" i="1"/>
  <c r="AD263" i="1" s="1"/>
  <c r="AA262" i="1"/>
  <c r="AD262" i="1" s="1"/>
  <c r="AA261" i="1"/>
  <c r="AD261" i="1" s="1"/>
  <c r="AA260" i="1"/>
  <c r="AD260" i="1" s="1"/>
  <c r="AA259" i="1"/>
  <c r="AD259" i="1" s="1"/>
  <c r="AA258" i="1"/>
  <c r="AD258" i="1" s="1"/>
  <c r="AF258" i="1" s="1"/>
  <c r="AA257" i="1"/>
  <c r="AD257" i="1" s="1"/>
  <c r="AF257" i="1" s="1"/>
  <c r="AA256" i="1"/>
  <c r="AD256" i="1" s="1"/>
  <c r="AF256" i="1" s="1"/>
  <c r="AA255" i="1"/>
  <c r="AD255" i="1" s="1"/>
  <c r="AF255" i="1" s="1"/>
  <c r="AA254" i="1"/>
  <c r="AD254" i="1" s="1"/>
  <c r="AA253" i="1"/>
  <c r="AD253" i="1" s="1"/>
  <c r="AA252" i="1"/>
  <c r="AD252" i="1" s="1"/>
  <c r="AF252" i="1" s="1"/>
  <c r="AA251" i="1"/>
  <c r="AD251" i="1" s="1"/>
  <c r="AF251" i="1" s="1"/>
  <c r="AA250" i="1"/>
  <c r="AD250" i="1" s="1"/>
  <c r="AA249" i="1"/>
  <c r="AD249" i="1" s="1"/>
  <c r="AA248" i="1"/>
  <c r="AD248" i="1" s="1"/>
  <c r="AA247" i="1"/>
  <c r="AD247" i="1" s="1"/>
  <c r="AA246" i="1"/>
  <c r="AD246" i="1" s="1"/>
  <c r="AA245" i="1"/>
  <c r="AD245" i="1" s="1"/>
  <c r="AA244" i="1"/>
  <c r="AD244" i="1" s="1"/>
  <c r="AA239" i="1"/>
  <c r="AA230" i="1"/>
  <c r="AD230" i="1" s="1"/>
  <c r="AA228" i="1"/>
  <c r="AD228" i="1" s="1"/>
  <c r="AA225" i="1"/>
  <c r="AD225" i="1" s="1"/>
  <c r="AA220" i="1"/>
  <c r="AD220" i="1" s="1"/>
  <c r="AA218" i="1"/>
  <c r="AD218" i="1" s="1"/>
  <c r="AA209" i="1"/>
  <c r="AD209" i="1" s="1"/>
  <c r="AF209" i="1" s="1"/>
  <c r="AA208" i="1"/>
  <c r="AD208" i="1" s="1"/>
  <c r="AA207" i="1"/>
  <c r="AD207" i="1" s="1"/>
  <c r="AA206" i="1"/>
  <c r="AD206" i="1" s="1"/>
  <c r="AA187" i="1"/>
  <c r="AD187" i="1" s="1"/>
  <c r="AF187" i="1" s="1"/>
  <c r="AA186" i="1"/>
  <c r="AD186" i="1" s="1"/>
  <c r="AF186" i="1" s="1"/>
  <c r="AA156" i="1"/>
  <c r="AD156" i="1" s="1"/>
  <c r="AF156" i="1" s="1"/>
  <c r="AA155" i="1"/>
  <c r="AD155" i="1" s="1"/>
  <c r="AA154" i="1"/>
  <c r="AD154" i="1" s="1"/>
  <c r="AA153" i="1"/>
  <c r="AD153" i="1" s="1"/>
  <c r="AF153" i="1" s="1"/>
  <c r="AA152" i="1"/>
  <c r="AD152" i="1" s="1"/>
  <c r="AA151" i="1"/>
  <c r="AD151" i="1" s="1"/>
  <c r="AF151" i="1" s="1"/>
  <c r="AA150" i="1"/>
  <c r="AD150" i="1" s="1"/>
  <c r="AF150" i="1" s="1"/>
  <c r="AA149" i="1"/>
  <c r="AD149" i="1" s="1"/>
  <c r="AF149" i="1" s="1"/>
  <c r="AA147" i="1"/>
  <c r="AD147" i="1" s="1"/>
  <c r="AF147" i="1" s="1"/>
  <c r="AA146" i="1"/>
  <c r="AD146" i="1" s="1"/>
  <c r="AF146" i="1" s="1"/>
  <c r="AA145" i="1"/>
  <c r="AD145" i="1" s="1"/>
  <c r="AF145" i="1" s="1"/>
  <c r="AA144" i="1"/>
  <c r="AD144" i="1" s="1"/>
  <c r="AF144" i="1" s="1"/>
  <c r="AA143" i="1"/>
  <c r="AD143" i="1" s="1"/>
  <c r="AF143" i="1" s="1"/>
  <c r="AA142" i="1"/>
  <c r="AD142" i="1" s="1"/>
  <c r="AF142" i="1" s="1"/>
  <c r="AA141" i="1"/>
  <c r="AD141" i="1" s="1"/>
  <c r="AF141" i="1" s="1"/>
  <c r="AA140" i="1"/>
  <c r="AD140" i="1" s="1"/>
  <c r="AF140" i="1" s="1"/>
  <c r="AA139" i="1"/>
  <c r="AD139" i="1" s="1"/>
  <c r="AF139" i="1" s="1"/>
  <c r="AA138" i="1"/>
  <c r="AD138" i="1" s="1"/>
  <c r="AF138" i="1" s="1"/>
  <c r="AA137" i="1"/>
  <c r="AD137" i="1" s="1"/>
  <c r="AF137" i="1" s="1"/>
  <c r="AA136" i="1"/>
  <c r="AD136" i="1" s="1"/>
  <c r="AF136" i="1" s="1"/>
  <c r="AA135" i="1"/>
  <c r="AD135" i="1" s="1"/>
  <c r="AF135" i="1" s="1"/>
  <c r="AA134" i="1"/>
  <c r="AD134" i="1" s="1"/>
  <c r="AF134" i="1" s="1"/>
  <c r="AA133" i="1"/>
  <c r="AD133" i="1" s="1"/>
  <c r="AF133" i="1" s="1"/>
  <c r="AA132" i="1"/>
  <c r="AD132" i="1" s="1"/>
  <c r="AF132" i="1" s="1"/>
  <c r="AA131" i="1"/>
  <c r="AD131" i="1" s="1"/>
  <c r="AF131" i="1" s="1"/>
  <c r="AA130" i="1"/>
  <c r="AD130" i="1" s="1"/>
  <c r="AF130" i="1" s="1"/>
  <c r="AA129" i="1"/>
  <c r="AD129" i="1" s="1"/>
  <c r="AA128" i="1"/>
  <c r="AD128" i="1" s="1"/>
  <c r="AF128" i="1" s="1"/>
  <c r="AA127" i="1"/>
  <c r="AD127" i="1" s="1"/>
  <c r="AF127" i="1" s="1"/>
  <c r="AA126" i="1"/>
  <c r="AD126" i="1" s="1"/>
  <c r="AF126" i="1" s="1"/>
  <c r="AA125" i="1"/>
  <c r="AD125" i="1" s="1"/>
  <c r="AF125" i="1" s="1"/>
  <c r="AA124" i="1"/>
  <c r="AD124" i="1" s="1"/>
  <c r="AF124" i="1" s="1"/>
  <c r="AA123" i="1"/>
  <c r="AD123" i="1" s="1"/>
  <c r="AF123" i="1" s="1"/>
  <c r="AA122" i="1"/>
  <c r="AD122" i="1" s="1"/>
  <c r="AF122" i="1" s="1"/>
  <c r="AA121" i="1"/>
  <c r="AD121" i="1" s="1"/>
  <c r="AF121" i="1" s="1"/>
  <c r="AA120" i="1"/>
  <c r="AD120" i="1" s="1"/>
  <c r="AF120" i="1" s="1"/>
  <c r="AA119" i="1"/>
  <c r="AD119" i="1" s="1"/>
  <c r="AF119" i="1" s="1"/>
  <c r="AA118" i="1"/>
  <c r="AD118" i="1" s="1"/>
  <c r="AF118" i="1" s="1"/>
  <c r="AA104" i="1"/>
  <c r="AD104" i="1" s="1"/>
  <c r="AF104" i="1" s="1"/>
  <c r="AA108" i="1"/>
  <c r="AA106" i="1"/>
  <c r="AD108" i="1"/>
  <c r="AD106" i="1"/>
  <c r="AA93" i="1"/>
  <c r="AD93" i="1" s="1"/>
  <c r="AA92" i="1"/>
  <c r="AD92" i="1" s="1"/>
  <c r="AA88" i="1"/>
  <c r="AD88" i="1" s="1"/>
  <c r="AF88" i="1" s="1"/>
  <c r="AA87" i="1"/>
  <c r="AD87" i="1" s="1"/>
  <c r="AF87" i="1" s="1"/>
  <c r="AA76" i="1"/>
  <c r="AD76" i="1" s="1"/>
  <c r="AA73" i="1"/>
  <c r="AD73" i="1" s="1"/>
  <c r="AA75" i="1"/>
  <c r="AD75" i="1" s="1"/>
  <c r="AD52" i="1"/>
  <c r="AF52" i="1" s="1"/>
  <c r="AA52" i="1"/>
  <c r="AD278" i="1"/>
  <c r="AD277" i="1"/>
  <c r="AD276" i="1"/>
  <c r="AF276" i="1" s="1"/>
  <c r="AD238" i="1"/>
  <c r="AA278" i="1"/>
  <c r="AA277" i="1"/>
  <c r="AA276" i="1"/>
  <c r="AA238" i="1"/>
  <c r="X270" i="1"/>
  <c r="X224" i="1"/>
  <c r="AD68" i="1"/>
  <c r="AA68" i="1"/>
  <c r="X68" i="1"/>
  <c r="X52" i="1"/>
  <c r="AA242" i="1"/>
  <c r="AD242" i="1" s="1"/>
  <c r="AF242" i="1" s="1"/>
  <c r="X278" i="1"/>
  <c r="X277" i="1"/>
  <c r="X276" i="1"/>
  <c r="X238" i="1"/>
  <c r="L67" i="1"/>
  <c r="J67" i="1"/>
  <c r="H67" i="1"/>
  <c r="D67" i="1"/>
  <c r="T309" i="1"/>
  <c r="T294" i="1"/>
  <c r="T282" i="1"/>
  <c r="T279" i="1"/>
  <c r="T31" i="1" s="1"/>
  <c r="T234" i="1"/>
  <c r="T30" i="1" s="1"/>
  <c r="T213" i="1"/>
  <c r="T29" i="1" s="1"/>
  <c r="T201" i="1"/>
  <c r="T181" i="1"/>
  <c r="T160" i="1"/>
  <c r="T113" i="1"/>
  <c r="T97" i="1"/>
  <c r="T81" i="1"/>
  <c r="T61" i="1"/>
  <c r="T56" i="1"/>
  <c r="T27" i="1"/>
  <c r="T26" i="1"/>
  <c r="T25" i="1"/>
  <c r="T24" i="1"/>
  <c r="T20" i="1"/>
  <c r="T9" i="1"/>
  <c r="T12" i="1" s="1"/>
  <c r="AA224" i="1"/>
  <c r="AD224" i="1" s="1"/>
  <c r="AF308" i="1"/>
  <c r="AF307" i="1"/>
  <c r="AF306" i="1"/>
  <c r="AF305" i="1"/>
  <c r="AF304" i="1"/>
  <c r="AF299" i="1"/>
  <c r="AF298" i="1"/>
  <c r="AF297" i="1"/>
  <c r="AF288" i="1"/>
  <c r="AF282" i="1"/>
  <c r="AF278" i="1"/>
  <c r="AF275" i="1"/>
  <c r="AF274" i="1"/>
  <c r="AF273" i="1"/>
  <c r="AF272" i="1"/>
  <c r="AF271" i="1"/>
  <c r="AF270" i="1"/>
  <c r="AF243" i="1"/>
  <c r="AF241" i="1"/>
  <c r="AF240" i="1"/>
  <c r="AF239" i="1"/>
  <c r="AF237" i="1"/>
  <c r="AF233" i="1"/>
  <c r="AF232" i="1"/>
  <c r="AF231" i="1"/>
  <c r="AF217" i="1"/>
  <c r="AF216" i="1"/>
  <c r="AF212" i="1"/>
  <c r="AF210" i="1"/>
  <c r="AF204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4" i="1"/>
  <c r="AF182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59" i="1"/>
  <c r="AF158" i="1"/>
  <c r="AF157" i="1"/>
  <c r="AF148" i="1"/>
  <c r="AF117" i="1"/>
  <c r="AF116" i="1"/>
  <c r="AF115" i="1"/>
  <c r="AF112" i="1"/>
  <c r="AF111" i="1"/>
  <c r="AF110" i="1"/>
  <c r="AF109" i="1"/>
  <c r="AF107" i="1"/>
  <c r="AF105" i="1"/>
  <c r="AF103" i="1"/>
  <c r="AF102" i="1"/>
  <c r="AF101" i="1"/>
  <c r="AF100" i="1"/>
  <c r="AF96" i="1"/>
  <c r="AF95" i="1"/>
  <c r="AF94" i="1"/>
  <c r="AF90" i="1"/>
  <c r="AF89" i="1"/>
  <c r="AF86" i="1"/>
  <c r="AF85" i="1"/>
  <c r="AF84" i="1"/>
  <c r="AF80" i="1"/>
  <c r="AF79" i="1"/>
  <c r="AF78" i="1"/>
  <c r="AF77" i="1"/>
  <c r="AF72" i="1"/>
  <c r="AF71" i="1"/>
  <c r="AF70" i="1"/>
  <c r="AF69" i="1"/>
  <c r="AF68" i="1"/>
  <c r="AF67" i="1"/>
  <c r="AF63" i="1"/>
  <c r="AF62" i="1"/>
  <c r="AF61" i="1"/>
  <c r="AF60" i="1"/>
  <c r="AF59" i="1"/>
  <c r="AF55" i="1"/>
  <c r="AF54" i="1"/>
  <c r="AF51" i="1"/>
  <c r="AF50" i="1"/>
  <c r="AF49" i="1"/>
  <c r="AF44" i="1"/>
  <c r="AF43" i="1"/>
  <c r="AF42" i="1"/>
  <c r="AF41" i="1"/>
  <c r="AF40" i="1"/>
  <c r="AF39" i="1"/>
  <c r="AF38" i="1"/>
  <c r="AF36" i="1"/>
  <c r="AF19" i="1"/>
  <c r="AF17" i="1"/>
  <c r="AF15" i="1"/>
  <c r="AF11" i="1"/>
  <c r="AF10" i="1"/>
  <c r="AF8" i="1"/>
  <c r="AF7" i="1"/>
  <c r="AF6" i="1"/>
  <c r="AF5" i="1"/>
  <c r="AC308" i="1"/>
  <c r="AC307" i="1"/>
  <c r="AC306" i="1"/>
  <c r="AC305" i="1"/>
  <c r="AC304" i="1"/>
  <c r="AC299" i="1"/>
  <c r="AC298" i="1"/>
  <c r="AC297" i="1"/>
  <c r="AC293" i="1"/>
  <c r="AC292" i="1"/>
  <c r="AC291" i="1"/>
  <c r="AC290" i="1"/>
  <c r="AC289" i="1"/>
  <c r="AC288" i="1"/>
  <c r="AC287" i="1"/>
  <c r="AC286" i="1"/>
  <c r="AC285" i="1"/>
  <c r="AC284" i="1"/>
  <c r="AC282" i="1"/>
  <c r="AC278" i="1"/>
  <c r="AC276" i="1"/>
  <c r="AC275" i="1"/>
  <c r="AC274" i="1"/>
  <c r="AC273" i="1"/>
  <c r="AC272" i="1"/>
  <c r="AC271" i="1"/>
  <c r="AC270" i="1"/>
  <c r="AC269" i="1"/>
  <c r="AC268" i="1"/>
  <c r="AC267" i="1"/>
  <c r="AC266" i="1"/>
  <c r="AC258" i="1"/>
  <c r="AC257" i="1"/>
  <c r="AC256" i="1"/>
  <c r="AC255" i="1"/>
  <c r="AC252" i="1"/>
  <c r="AC251" i="1"/>
  <c r="AC243" i="1"/>
  <c r="AC242" i="1"/>
  <c r="AC241" i="1"/>
  <c r="AC240" i="1"/>
  <c r="AC239" i="1"/>
  <c r="AC237" i="1"/>
  <c r="AC233" i="1"/>
  <c r="AC232" i="1"/>
  <c r="AC231" i="1"/>
  <c r="AC224" i="1"/>
  <c r="AC217" i="1"/>
  <c r="AC216" i="1"/>
  <c r="AC212" i="1"/>
  <c r="AC210" i="1"/>
  <c r="AC209" i="1"/>
  <c r="AC204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4" i="1"/>
  <c r="AC182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59" i="1"/>
  <c r="AC158" i="1"/>
  <c r="AC157" i="1"/>
  <c r="AC156" i="1"/>
  <c r="AC153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2" i="1"/>
  <c r="AC111" i="1"/>
  <c r="AC110" i="1"/>
  <c r="AC109" i="1"/>
  <c r="AC107" i="1"/>
  <c r="AC105" i="1"/>
  <c r="AC104" i="1"/>
  <c r="AC103" i="1"/>
  <c r="AC102" i="1"/>
  <c r="AC101" i="1"/>
  <c r="AC100" i="1"/>
  <c r="AC96" i="1"/>
  <c r="AC95" i="1"/>
  <c r="AC94" i="1"/>
  <c r="AC90" i="1"/>
  <c r="AC89" i="1"/>
  <c r="AC88" i="1"/>
  <c r="AC87" i="1"/>
  <c r="AC86" i="1"/>
  <c r="AC85" i="1"/>
  <c r="AC84" i="1"/>
  <c r="AC80" i="1"/>
  <c r="AC79" i="1"/>
  <c r="AC78" i="1"/>
  <c r="AC77" i="1"/>
  <c r="AC72" i="1"/>
  <c r="AC71" i="1"/>
  <c r="AC70" i="1"/>
  <c r="AC69" i="1"/>
  <c r="AC68" i="1"/>
  <c r="AC67" i="1"/>
  <c r="AC63" i="1"/>
  <c r="AC62" i="1"/>
  <c r="AC61" i="1"/>
  <c r="AC60" i="1"/>
  <c r="AC59" i="1"/>
  <c r="AC55" i="1"/>
  <c r="AC54" i="1"/>
  <c r="AC52" i="1"/>
  <c r="AC51" i="1"/>
  <c r="AC50" i="1"/>
  <c r="AC49" i="1"/>
  <c r="AC44" i="1"/>
  <c r="AC43" i="1"/>
  <c r="AC42" i="1"/>
  <c r="AC41" i="1"/>
  <c r="AC40" i="1"/>
  <c r="AC39" i="1"/>
  <c r="AC38" i="1"/>
  <c r="AC36" i="1"/>
  <c r="AC19" i="1"/>
  <c r="AC17" i="1"/>
  <c r="AC15" i="1"/>
  <c r="AC11" i="1"/>
  <c r="AC10" i="1"/>
  <c r="AC8" i="1"/>
  <c r="AC7" i="1"/>
  <c r="AC6" i="1"/>
  <c r="AC5" i="1"/>
  <c r="Z11" i="1"/>
  <c r="Z10" i="1"/>
  <c r="Z8" i="1"/>
  <c r="Z7" i="1"/>
  <c r="Z6" i="1"/>
  <c r="Z5" i="1"/>
  <c r="Z308" i="1"/>
  <c r="Z305" i="1"/>
  <c r="Z304" i="1"/>
  <c r="Z299" i="1"/>
  <c r="Z298" i="1"/>
  <c r="Z293" i="1"/>
  <c r="Z292" i="1"/>
  <c r="Z291" i="1"/>
  <c r="Z290" i="1"/>
  <c r="Z289" i="1"/>
  <c r="Z288" i="1"/>
  <c r="Z287" i="1"/>
  <c r="Z286" i="1"/>
  <c r="Z285" i="1"/>
  <c r="Z284" i="1"/>
  <c r="Z278" i="1"/>
  <c r="Z274" i="1"/>
  <c r="Z273" i="1"/>
  <c r="Z272" i="1"/>
  <c r="Z271" i="1"/>
  <c r="Z269" i="1"/>
  <c r="Z268" i="1"/>
  <c r="Z266" i="1"/>
  <c r="Z258" i="1"/>
  <c r="Z257" i="1"/>
  <c r="Z256" i="1"/>
  <c r="Z255" i="1"/>
  <c r="Z252" i="1"/>
  <c r="Z251" i="1"/>
  <c r="Z243" i="1"/>
  <c r="Z242" i="1"/>
  <c r="Z241" i="1"/>
  <c r="Z240" i="1"/>
  <c r="Z239" i="1"/>
  <c r="Z233" i="1"/>
  <c r="Z212" i="1"/>
  <c r="Z209" i="1"/>
  <c r="Z187" i="1"/>
  <c r="Z186" i="1"/>
  <c r="Z159" i="1"/>
  <c r="Z156" i="1"/>
  <c r="Z153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09" i="1"/>
  <c r="Z107" i="1"/>
  <c r="Z105" i="1"/>
  <c r="Z104" i="1"/>
  <c r="Z103" i="1"/>
  <c r="Z102" i="1"/>
  <c r="Z96" i="1"/>
  <c r="Z90" i="1"/>
  <c r="Z89" i="1"/>
  <c r="Z88" i="1"/>
  <c r="Z87" i="1"/>
  <c r="Z86" i="1"/>
  <c r="Z80" i="1"/>
  <c r="Z77" i="1"/>
  <c r="Z72" i="1"/>
  <c r="Z71" i="1"/>
  <c r="Z70" i="1"/>
  <c r="Z69" i="1"/>
  <c r="Z68" i="1"/>
  <c r="Z55" i="1"/>
  <c r="Z54" i="1"/>
  <c r="Z44" i="1"/>
  <c r="Z43" i="1"/>
  <c r="Z42" i="1"/>
  <c r="Z41" i="1"/>
  <c r="Z40" i="1"/>
  <c r="Z39" i="1"/>
  <c r="Z38" i="1"/>
  <c r="Z36" i="1"/>
  <c r="Z19" i="1"/>
  <c r="Z17" i="1"/>
  <c r="Z15" i="1"/>
  <c r="Z303" i="1"/>
  <c r="Z302" i="1"/>
  <c r="Z301" i="1"/>
  <c r="Z300" i="1"/>
  <c r="Z265" i="1"/>
  <c r="Z264" i="1"/>
  <c r="Z263" i="1"/>
  <c r="Z262" i="1"/>
  <c r="Z261" i="1"/>
  <c r="Z260" i="1"/>
  <c r="Z259" i="1"/>
  <c r="Z254" i="1"/>
  <c r="Z253" i="1"/>
  <c r="Z250" i="1"/>
  <c r="Z249" i="1"/>
  <c r="Z248" i="1"/>
  <c r="Z247" i="1"/>
  <c r="Z246" i="1"/>
  <c r="Z245" i="1"/>
  <c r="Z244" i="1"/>
  <c r="Z230" i="1"/>
  <c r="X229" i="1"/>
  <c r="Z229" i="1" s="1"/>
  <c r="Z228" i="1"/>
  <c r="X227" i="1"/>
  <c r="Z227" i="1" s="1"/>
  <c r="X226" i="1"/>
  <c r="Z226" i="1" s="1"/>
  <c r="Z225" i="1"/>
  <c r="X223" i="1"/>
  <c r="Z223" i="1" s="1"/>
  <c r="Z222" i="1"/>
  <c r="Z221" i="1"/>
  <c r="Z220" i="1"/>
  <c r="X219" i="1"/>
  <c r="Z219" i="1" s="1"/>
  <c r="Z218" i="1"/>
  <c r="Z206" i="1"/>
  <c r="Z208" i="1"/>
  <c r="Z207" i="1"/>
  <c r="Z155" i="1"/>
  <c r="Z154" i="1"/>
  <c r="Z152" i="1"/>
  <c r="Z108" i="1"/>
  <c r="Z106" i="1"/>
  <c r="Z93" i="1"/>
  <c r="Z92" i="1"/>
  <c r="X91" i="1"/>
  <c r="Z91" i="1" s="1"/>
  <c r="Z76" i="1"/>
  <c r="Z75" i="1"/>
  <c r="Z74" i="1"/>
  <c r="Z73" i="1"/>
  <c r="AD181" i="1"/>
  <c r="AD56" i="1"/>
  <c r="AD9" i="1"/>
  <c r="AD12" i="1" s="1"/>
  <c r="AD18" i="1" s="1"/>
  <c r="X309" i="1"/>
  <c r="X294" i="1"/>
  <c r="X279" i="1"/>
  <c r="X181" i="1"/>
  <c r="X160" i="1"/>
  <c r="X27" i="1" s="1"/>
  <c r="X113" i="1"/>
  <c r="X97" i="1"/>
  <c r="X25" i="1" s="1"/>
  <c r="X81" i="1"/>
  <c r="X56" i="1"/>
  <c r="X14" i="1"/>
  <c r="X9" i="1"/>
  <c r="X12" i="1" s="1"/>
  <c r="X185" i="1" s="1"/>
  <c r="R52" i="1"/>
  <c r="R20" i="1"/>
  <c r="R9" i="1"/>
  <c r="R12" i="1" s="1"/>
  <c r="AC14" i="1"/>
  <c r="Z275" i="1"/>
  <c r="V14" i="1"/>
  <c r="Z112" i="1"/>
  <c r="Z111" i="1"/>
  <c r="Z110" i="1"/>
  <c r="Z101" i="1"/>
  <c r="Z217" i="1"/>
  <c r="Z267" i="1"/>
  <c r="N238" i="1"/>
  <c r="L238" i="1"/>
  <c r="J238" i="1"/>
  <c r="H238" i="1"/>
  <c r="F238" i="1"/>
  <c r="D238" i="1"/>
  <c r="E238" i="1" s="1"/>
  <c r="P238" i="1"/>
  <c r="Z67" i="1"/>
  <c r="Z79" i="1"/>
  <c r="Z78" i="1"/>
  <c r="Z276" i="1"/>
  <c r="Z232" i="1"/>
  <c r="Z307" i="1"/>
  <c r="Z306" i="1"/>
  <c r="Z297" i="1"/>
  <c r="Z231" i="1"/>
  <c r="Z210" i="1"/>
  <c r="Z158" i="1"/>
  <c r="Z157" i="1"/>
  <c r="Z116" i="1"/>
  <c r="Z95" i="1"/>
  <c r="Z94" i="1"/>
  <c r="Z85" i="1"/>
  <c r="AA294" i="1"/>
  <c r="AA181" i="1"/>
  <c r="AC181" i="1" s="1"/>
  <c r="AA56" i="1"/>
  <c r="AA9" i="1"/>
  <c r="AA12" i="1" s="1"/>
  <c r="V20" i="1"/>
  <c r="V9" i="1"/>
  <c r="V12" i="1" s="1"/>
  <c r="V309" i="1"/>
  <c r="V311" i="1" s="1"/>
  <c r="V37" i="1" s="1"/>
  <c r="V294" i="1"/>
  <c r="V282" i="1"/>
  <c r="V279" i="1"/>
  <c r="V234" i="1"/>
  <c r="V30" i="1" s="1"/>
  <c r="V201" i="1"/>
  <c r="V181" i="1"/>
  <c r="V28" i="1" s="1"/>
  <c r="V160" i="1"/>
  <c r="V27" i="1" s="1"/>
  <c r="W27" i="1" s="1"/>
  <c r="V113" i="1"/>
  <c r="V26" i="1" s="1"/>
  <c r="V97" i="1"/>
  <c r="V25" i="1" s="1"/>
  <c r="W25" i="1" s="1"/>
  <c r="V56" i="1"/>
  <c r="V52" i="1"/>
  <c r="P304" i="1"/>
  <c r="P309" i="1" s="1"/>
  <c r="P311" i="1" s="1"/>
  <c r="P37" i="1" s="1"/>
  <c r="P294" i="1"/>
  <c r="P282" i="1"/>
  <c r="P260" i="1"/>
  <c r="P228" i="1"/>
  <c r="P234" i="1" s="1"/>
  <c r="P213" i="1"/>
  <c r="P29" i="1" s="1"/>
  <c r="P201" i="1"/>
  <c r="P181" i="1"/>
  <c r="P150" i="1"/>
  <c r="P138" i="1"/>
  <c r="P117" i="1"/>
  <c r="P108" i="1"/>
  <c r="P97" i="1"/>
  <c r="P25" i="1" s="1"/>
  <c r="P77" i="1"/>
  <c r="P81" i="1" s="1"/>
  <c r="P24" i="1" s="1"/>
  <c r="P61" i="1"/>
  <c r="P56" i="1"/>
  <c r="P52" i="1"/>
  <c r="P43" i="1"/>
  <c r="P42" i="1"/>
  <c r="P19" i="1"/>
  <c r="P18" i="1"/>
  <c r="P17" i="1"/>
  <c r="P16" i="1"/>
  <c r="P15" i="1"/>
  <c r="P14" i="1"/>
  <c r="P10" i="1"/>
  <c r="P8" i="1"/>
  <c r="P6" i="1"/>
  <c r="P5" i="1"/>
  <c r="N294" i="1"/>
  <c r="N309" i="1"/>
  <c r="N282" i="1"/>
  <c r="N243" i="1"/>
  <c r="N279" i="1" s="1"/>
  <c r="N5" i="1"/>
  <c r="N6" i="1"/>
  <c r="N8" i="1"/>
  <c r="N10" i="1"/>
  <c r="N223" i="1"/>
  <c r="N234" i="1" s="1"/>
  <c r="N209" i="1"/>
  <c r="N213" i="1" s="1"/>
  <c r="N201" i="1"/>
  <c r="N181" i="1"/>
  <c r="N120" i="1"/>
  <c r="N150" i="1"/>
  <c r="N108" i="1"/>
  <c r="N113" i="1" s="1"/>
  <c r="N97" i="1"/>
  <c r="N25" i="1" s="1"/>
  <c r="N77" i="1"/>
  <c r="N81" i="1" s="1"/>
  <c r="N14" i="1"/>
  <c r="N15" i="1"/>
  <c r="N16" i="1"/>
  <c r="N17" i="1"/>
  <c r="N18" i="1"/>
  <c r="N36" i="1"/>
  <c r="N42" i="1"/>
  <c r="N43" i="1"/>
  <c r="N52" i="1"/>
  <c r="N56" i="1"/>
  <c r="R61" i="1"/>
  <c r="L9" i="1"/>
  <c r="L12" i="1" s="1"/>
  <c r="J9" i="1"/>
  <c r="J12" i="1" s="1"/>
  <c r="H9" i="1"/>
  <c r="H12" i="1" s="1"/>
  <c r="F9" i="1"/>
  <c r="D9" i="1"/>
  <c r="D12" i="1" s="1"/>
  <c r="L138" i="1"/>
  <c r="L160" i="1" s="1"/>
  <c r="L27" i="1" s="1"/>
  <c r="J138" i="1"/>
  <c r="H138" i="1"/>
  <c r="H160" i="1" s="1"/>
  <c r="H27" i="1" s="1"/>
  <c r="I27" i="1" s="1"/>
  <c r="F138" i="1"/>
  <c r="D138" i="1"/>
  <c r="D160" i="1" s="1"/>
  <c r="L253" i="1"/>
  <c r="J253" i="1"/>
  <c r="H253" i="1"/>
  <c r="F253" i="1"/>
  <c r="D253" i="1"/>
  <c r="R181" i="1"/>
  <c r="R294" i="1"/>
  <c r="R309" i="1"/>
  <c r="D16" i="1"/>
  <c r="F16" i="1"/>
  <c r="H16" i="1"/>
  <c r="J16" i="1"/>
  <c r="L16" i="1"/>
  <c r="S10" i="1"/>
  <c r="S9" i="1" s="1"/>
  <c r="S12" i="1" s="1"/>
  <c r="S8" i="1"/>
  <c r="S7" i="1"/>
  <c r="S6" i="1"/>
  <c r="S5" i="1"/>
  <c r="M10" i="1"/>
  <c r="M9" i="1" s="1"/>
  <c r="M12" i="1" s="1"/>
  <c r="M8" i="1"/>
  <c r="M7" i="1"/>
  <c r="M6" i="1"/>
  <c r="M5" i="1"/>
  <c r="I10" i="1"/>
  <c r="I9" i="1" s="1"/>
  <c r="I12" i="1" s="1"/>
  <c r="I8" i="1"/>
  <c r="I7" i="1"/>
  <c r="I6" i="1"/>
  <c r="I5" i="1"/>
  <c r="E10" i="1"/>
  <c r="E9" i="1" s="1"/>
  <c r="E12" i="1" s="1"/>
  <c r="E8" i="1"/>
  <c r="E7" i="1"/>
  <c r="E6" i="1"/>
  <c r="E5" i="1"/>
  <c r="L17" i="1"/>
  <c r="J17" i="1"/>
  <c r="H17" i="1"/>
  <c r="F17" i="1"/>
  <c r="D17" i="1"/>
  <c r="R81" i="1"/>
  <c r="R24" i="1" s="1"/>
  <c r="R97" i="1"/>
  <c r="R25" i="1" s="1"/>
  <c r="R113" i="1"/>
  <c r="R26" i="1" s="1"/>
  <c r="R160" i="1"/>
  <c r="R27" i="1" s="1"/>
  <c r="R201" i="1"/>
  <c r="R213" i="1"/>
  <c r="R29" i="1" s="1"/>
  <c r="R234" i="1"/>
  <c r="R30" i="1" s="1"/>
  <c r="R279" i="1"/>
  <c r="R31" i="1" s="1"/>
  <c r="R56" i="1"/>
  <c r="J150" i="1"/>
  <c r="H268" i="1"/>
  <c r="I268" i="1" s="1"/>
  <c r="D14" i="1"/>
  <c r="D15" i="1"/>
  <c r="E15" i="1" s="1"/>
  <c r="D81" i="1"/>
  <c r="D24" i="1" s="1"/>
  <c r="D87" i="1"/>
  <c r="E87" i="1" s="1"/>
  <c r="D89" i="1"/>
  <c r="D108" i="1"/>
  <c r="D113" i="1" s="1"/>
  <c r="E113" i="1" s="1"/>
  <c r="D167" i="1"/>
  <c r="D181" i="1" s="1"/>
  <c r="D201" i="1"/>
  <c r="E201" i="1" s="1"/>
  <c r="D213" i="1"/>
  <c r="D29" i="1" s="1"/>
  <c r="D220" i="1"/>
  <c r="D241" i="1"/>
  <c r="D245" i="1"/>
  <c r="E245" i="1" s="1"/>
  <c r="D248" i="1"/>
  <c r="D260" i="1"/>
  <c r="D271" i="1"/>
  <c r="D276" i="1"/>
  <c r="E276" i="1" s="1"/>
  <c r="D277" i="1"/>
  <c r="D278" i="1"/>
  <c r="D294" i="1"/>
  <c r="D309" i="1"/>
  <c r="D44" i="1"/>
  <c r="E44" i="1" s="1"/>
  <c r="D52" i="1"/>
  <c r="D56" i="1"/>
  <c r="F81" i="1"/>
  <c r="F24" i="1" s="1"/>
  <c r="F87" i="1"/>
  <c r="F97" i="1" s="1"/>
  <c r="F108" i="1"/>
  <c r="F160" i="1"/>
  <c r="F27" i="1" s="1"/>
  <c r="F167" i="1"/>
  <c r="F181" i="1" s="1"/>
  <c r="F201" i="1"/>
  <c r="F213" i="1"/>
  <c r="F220" i="1"/>
  <c r="F234" i="1" s="1"/>
  <c r="F241" i="1"/>
  <c r="F245" i="1"/>
  <c r="F248" i="1"/>
  <c r="F271" i="1"/>
  <c r="F273" i="1"/>
  <c r="F276" i="1"/>
  <c r="F277" i="1"/>
  <c r="F278" i="1"/>
  <c r="F294" i="1"/>
  <c r="F309" i="1"/>
  <c r="F52" i="1"/>
  <c r="F56" i="1"/>
  <c r="F163" i="1"/>
  <c r="H20" i="1"/>
  <c r="H81" i="1"/>
  <c r="H24" i="1" s="1"/>
  <c r="I24" i="1" s="1"/>
  <c r="H97" i="1"/>
  <c r="H25" i="1" s="1"/>
  <c r="I25" i="1" s="1"/>
  <c r="H113" i="1"/>
  <c r="H26" i="1" s="1"/>
  <c r="I26" i="1" s="1"/>
  <c r="H181" i="1"/>
  <c r="H201" i="1"/>
  <c r="H213" i="1"/>
  <c r="H29" i="1" s="1"/>
  <c r="I29" i="1" s="1"/>
  <c r="H220" i="1"/>
  <c r="H234" i="1" s="1"/>
  <c r="H244" i="1"/>
  <c r="H245" i="1"/>
  <c r="H248" i="1"/>
  <c r="H273" i="1"/>
  <c r="H276" i="1"/>
  <c r="I276" i="1" s="1"/>
  <c r="H277" i="1"/>
  <c r="I277" i="1" s="1"/>
  <c r="H278" i="1"/>
  <c r="I278" i="1" s="1"/>
  <c r="H294" i="1"/>
  <c r="H309" i="1"/>
  <c r="H52" i="1"/>
  <c r="H56" i="1"/>
  <c r="H163" i="1"/>
  <c r="H282" i="1"/>
  <c r="I263" i="1"/>
  <c r="I264" i="1"/>
  <c r="I265" i="1"/>
  <c r="I267" i="1"/>
  <c r="I269" i="1"/>
  <c r="I270" i="1"/>
  <c r="I271" i="1"/>
  <c r="I272" i="1"/>
  <c r="I273" i="1"/>
  <c r="I274" i="1"/>
  <c r="J77" i="1"/>
  <c r="J81" i="1" s="1"/>
  <c r="J97" i="1"/>
  <c r="J25" i="1" s="1"/>
  <c r="J104" i="1"/>
  <c r="J108" i="1"/>
  <c r="J160" i="1"/>
  <c r="J27" i="1" s="1"/>
  <c r="J181" i="1"/>
  <c r="J189" i="1"/>
  <c r="J201" i="1" s="1"/>
  <c r="J213" i="1"/>
  <c r="J29" i="1" s="1"/>
  <c r="J234" i="1"/>
  <c r="J30" i="1" s="1"/>
  <c r="J276" i="1"/>
  <c r="J277" i="1"/>
  <c r="J278" i="1"/>
  <c r="J294" i="1"/>
  <c r="J309" i="1"/>
  <c r="J52" i="1"/>
  <c r="J56" i="1"/>
  <c r="J163" i="1"/>
  <c r="J282" i="1"/>
  <c r="L20" i="1"/>
  <c r="L81" i="1"/>
  <c r="L24" i="1" s="1"/>
  <c r="L97" i="1"/>
  <c r="L25" i="1" s="1"/>
  <c r="L113" i="1"/>
  <c r="L26" i="1" s="1"/>
  <c r="L181" i="1"/>
  <c r="L201" i="1"/>
  <c r="L213" i="1"/>
  <c r="L29" i="1" s="1"/>
  <c r="L234" i="1"/>
  <c r="L30" i="1" s="1"/>
  <c r="L273" i="1"/>
  <c r="L276" i="1"/>
  <c r="M276" i="1" s="1"/>
  <c r="L277" i="1"/>
  <c r="L278" i="1"/>
  <c r="M278" i="1" s="1"/>
  <c r="L294" i="1"/>
  <c r="L309" i="1"/>
  <c r="L52" i="1"/>
  <c r="L56" i="1"/>
  <c r="L282" i="1"/>
  <c r="M270" i="1"/>
  <c r="M272" i="1"/>
  <c r="M274" i="1"/>
  <c r="M277" i="1"/>
  <c r="R282" i="1"/>
  <c r="E71" i="1"/>
  <c r="E151" i="1"/>
  <c r="E150" i="1"/>
  <c r="E149" i="1"/>
  <c r="E146" i="1"/>
  <c r="E143" i="1"/>
  <c r="E132" i="1"/>
  <c r="E188" i="1"/>
  <c r="E268" i="1"/>
  <c r="E14" i="1"/>
  <c r="E16" i="1"/>
  <c r="E18" i="1"/>
  <c r="E36" i="1"/>
  <c r="E38" i="1"/>
  <c r="E40" i="1"/>
  <c r="E42" i="1"/>
  <c r="E50" i="1"/>
  <c r="E52" i="1"/>
  <c r="E55" i="1"/>
  <c r="E69" i="1"/>
  <c r="E72" i="1"/>
  <c r="E74" i="1"/>
  <c r="E76" i="1"/>
  <c r="E78" i="1"/>
  <c r="E80" i="1"/>
  <c r="E85" i="1"/>
  <c r="E89" i="1"/>
  <c r="E91" i="1"/>
  <c r="E93" i="1"/>
  <c r="E95" i="1"/>
  <c r="E102" i="1"/>
  <c r="E104" i="1"/>
  <c r="E106" i="1"/>
  <c r="E111" i="1"/>
  <c r="E117" i="1"/>
  <c r="E119" i="1"/>
  <c r="E121" i="1"/>
  <c r="E123" i="1"/>
  <c r="E125" i="1"/>
  <c r="E127" i="1"/>
  <c r="E129" i="1"/>
  <c r="E131" i="1"/>
  <c r="E134" i="1"/>
  <c r="E137" i="1"/>
  <c r="E139" i="1"/>
  <c r="E141" i="1"/>
  <c r="E144" i="1"/>
  <c r="E153" i="1"/>
  <c r="E155" i="1"/>
  <c r="E157" i="1"/>
  <c r="E159" i="1"/>
  <c r="E164" i="1"/>
  <c r="E169" i="1"/>
  <c r="E171" i="1"/>
  <c r="E173" i="1"/>
  <c r="E175" i="1"/>
  <c r="E177" i="1"/>
  <c r="E179" i="1"/>
  <c r="E181" i="1"/>
  <c r="E189" i="1"/>
  <c r="E191" i="1"/>
  <c r="E193" i="1"/>
  <c r="E195" i="1"/>
  <c r="E198" i="1"/>
  <c r="E200" i="1"/>
  <c r="E205" i="1"/>
  <c r="E208" i="1"/>
  <c r="E210" i="1"/>
  <c r="E212" i="1"/>
  <c r="E217" i="1"/>
  <c r="E224" i="1"/>
  <c r="E229" i="1"/>
  <c r="E232" i="1"/>
  <c r="E240" i="1"/>
  <c r="E242" i="1"/>
  <c r="E247" i="1"/>
  <c r="E249" i="1"/>
  <c r="E251" i="1"/>
  <c r="E253" i="1"/>
  <c r="E255" i="1"/>
  <c r="E257" i="1"/>
  <c r="E259" i="1"/>
  <c r="E261" i="1"/>
  <c r="E263" i="1"/>
  <c r="E265" i="1"/>
  <c r="E269" i="1"/>
  <c r="E271" i="1"/>
  <c r="E273" i="1"/>
  <c r="E278" i="1"/>
  <c r="E148" i="1"/>
  <c r="E147" i="1"/>
  <c r="E145" i="1"/>
  <c r="E136" i="1"/>
  <c r="E17" i="1"/>
  <c r="E19" i="1"/>
  <c r="E29" i="1"/>
  <c r="E39" i="1"/>
  <c r="E41" i="1"/>
  <c r="E43" i="1"/>
  <c r="E49" i="1"/>
  <c r="E51" i="1"/>
  <c r="E54" i="1"/>
  <c r="E56" i="1"/>
  <c r="E67" i="1"/>
  <c r="E68" i="1"/>
  <c r="E70" i="1"/>
  <c r="E73" i="1"/>
  <c r="E75" i="1"/>
  <c r="E77" i="1"/>
  <c r="E79" i="1"/>
  <c r="E81" i="1"/>
  <c r="E86" i="1"/>
  <c r="E88" i="1"/>
  <c r="E90" i="1"/>
  <c r="E92" i="1"/>
  <c r="E94" i="1"/>
  <c r="E96" i="1"/>
  <c r="E101" i="1"/>
  <c r="E103" i="1"/>
  <c r="E105" i="1"/>
  <c r="E107" i="1"/>
  <c r="E110" i="1"/>
  <c r="E112" i="1"/>
  <c r="E116" i="1"/>
  <c r="E118" i="1"/>
  <c r="E120" i="1"/>
  <c r="E122" i="1"/>
  <c r="E124" i="1"/>
  <c r="E126" i="1"/>
  <c r="E128" i="1"/>
  <c r="E130" i="1"/>
  <c r="E133" i="1"/>
  <c r="E135" i="1"/>
  <c r="E140" i="1"/>
  <c r="E142" i="1"/>
  <c r="E152" i="1"/>
  <c r="E154" i="1"/>
  <c r="E156" i="1"/>
  <c r="E158" i="1"/>
  <c r="E165" i="1"/>
  <c r="E168" i="1"/>
  <c r="E170" i="1"/>
  <c r="E172" i="1"/>
  <c r="E174" i="1"/>
  <c r="E176" i="1"/>
  <c r="E178" i="1"/>
  <c r="E180" i="1"/>
  <c r="E185" i="1"/>
  <c r="E190" i="1"/>
  <c r="E192" i="1"/>
  <c r="E194" i="1"/>
  <c r="E196" i="1"/>
  <c r="E199" i="1"/>
  <c r="E206" i="1"/>
  <c r="E209" i="1"/>
  <c r="E211" i="1"/>
  <c r="E213" i="1"/>
  <c r="E218" i="1"/>
  <c r="E223" i="1"/>
  <c r="E228" i="1"/>
  <c r="E231" i="1"/>
  <c r="E233" i="1"/>
  <c r="E239" i="1"/>
  <c r="E241" i="1"/>
  <c r="E244" i="1"/>
  <c r="E246" i="1"/>
  <c r="E248" i="1"/>
  <c r="E250" i="1"/>
  <c r="E252" i="1"/>
  <c r="E254" i="1"/>
  <c r="E256" i="1"/>
  <c r="E258" i="1"/>
  <c r="E260" i="1"/>
  <c r="E262" i="1"/>
  <c r="E264" i="1"/>
  <c r="E267" i="1"/>
  <c r="E270" i="1"/>
  <c r="E272" i="1"/>
  <c r="E274" i="1"/>
  <c r="E277" i="1"/>
  <c r="M71" i="1"/>
  <c r="M151" i="1"/>
  <c r="M149" i="1"/>
  <c r="M146" i="1"/>
  <c r="M143" i="1"/>
  <c r="M132" i="1"/>
  <c r="M188" i="1"/>
  <c r="M150" i="1"/>
  <c r="M148" i="1"/>
  <c r="M147" i="1"/>
  <c r="M145" i="1"/>
  <c r="M136" i="1"/>
  <c r="M268" i="1"/>
  <c r="D26" i="1"/>
  <c r="E26" i="1" s="1"/>
  <c r="E24" i="1"/>
  <c r="I71" i="1"/>
  <c r="I151" i="1"/>
  <c r="I150" i="1"/>
  <c r="I149" i="1"/>
  <c r="I146" i="1"/>
  <c r="I143" i="1"/>
  <c r="I132" i="1"/>
  <c r="I188" i="1"/>
  <c r="I148" i="1"/>
  <c r="I147" i="1"/>
  <c r="I145" i="1"/>
  <c r="I136" i="1"/>
  <c r="R311" i="1"/>
  <c r="R37" i="1" s="1"/>
  <c r="W5" i="1"/>
  <c r="W7" i="1"/>
  <c r="V31" i="1"/>
  <c r="W6" i="1"/>
  <c r="W8" i="1"/>
  <c r="W11" i="1"/>
  <c r="W10" i="1"/>
  <c r="W9" i="1" s="1"/>
  <c r="W12" i="1" s="1"/>
  <c r="P30" i="1"/>
  <c r="P113" i="1"/>
  <c r="P26" i="1" s="1"/>
  <c r="P279" i="1"/>
  <c r="V213" i="1"/>
  <c r="V29" i="1" s="1"/>
  <c r="W29" i="1" s="1"/>
  <c r="D28" i="1"/>
  <c r="M24" i="1"/>
  <c r="I234" i="1"/>
  <c r="H30" i="1"/>
  <c r="I30" i="1" s="1"/>
  <c r="F25" i="1"/>
  <c r="N31" i="1"/>
  <c r="E28" i="1"/>
  <c r="W97" i="1"/>
  <c r="W201" i="1"/>
  <c r="W277" i="1"/>
  <c r="W273" i="1"/>
  <c r="W269" i="1"/>
  <c r="W265" i="1"/>
  <c r="W261" i="1"/>
  <c r="W257" i="1"/>
  <c r="W253" i="1"/>
  <c r="W249" i="1"/>
  <c r="W245" i="1"/>
  <c r="W241" i="1"/>
  <c r="W233" i="1"/>
  <c r="W229" i="1"/>
  <c r="W225" i="1"/>
  <c r="W221" i="1"/>
  <c r="W217" i="1"/>
  <c r="W209" i="1"/>
  <c r="W205" i="1"/>
  <c r="W197" i="1"/>
  <c r="W193" i="1"/>
  <c r="W189" i="1"/>
  <c r="W185" i="1"/>
  <c r="W177" i="1"/>
  <c r="W173" i="1"/>
  <c r="W169" i="1"/>
  <c r="W164" i="1"/>
  <c r="W156" i="1"/>
  <c r="W152" i="1"/>
  <c r="W148" i="1"/>
  <c r="W144" i="1"/>
  <c r="W140" i="1"/>
  <c r="W136" i="1"/>
  <c r="W132" i="1"/>
  <c r="W128" i="1"/>
  <c r="W124" i="1"/>
  <c r="W120" i="1"/>
  <c r="W116" i="1"/>
  <c r="W109" i="1"/>
  <c r="W105" i="1"/>
  <c r="W101" i="1"/>
  <c r="W93" i="1"/>
  <c r="W89" i="1"/>
  <c r="W85" i="1"/>
  <c r="W77" i="1"/>
  <c r="W73" i="1"/>
  <c r="W70" i="1"/>
  <c r="W67" i="1"/>
  <c r="W55" i="1"/>
  <c r="W51" i="1"/>
  <c r="W43" i="1"/>
  <c r="W39" i="1"/>
  <c r="V22" i="1"/>
  <c r="W16" i="1"/>
  <c r="W278" i="1"/>
  <c r="W274" i="1"/>
  <c r="W270" i="1"/>
  <c r="W266" i="1"/>
  <c r="W262" i="1"/>
  <c r="W258" i="1"/>
  <c r="W254" i="1"/>
  <c r="W250" i="1"/>
  <c r="W246" i="1"/>
  <c r="W242" i="1"/>
  <c r="W230" i="1"/>
  <c r="W226" i="1"/>
  <c r="W222" i="1"/>
  <c r="W218" i="1"/>
  <c r="W210" i="1"/>
  <c r="W206" i="1"/>
  <c r="W198" i="1"/>
  <c r="W194" i="1"/>
  <c r="W190" i="1"/>
  <c r="W186" i="1"/>
  <c r="W178" i="1"/>
  <c r="W174" i="1"/>
  <c r="W170" i="1"/>
  <c r="W165" i="1"/>
  <c r="W157" i="1"/>
  <c r="W153" i="1"/>
  <c r="W149" i="1"/>
  <c r="W145" i="1"/>
  <c r="W141" i="1"/>
  <c r="W137" i="1"/>
  <c r="W133" i="1"/>
  <c r="W129" i="1"/>
  <c r="W125" i="1"/>
  <c r="W121" i="1"/>
  <c r="W117" i="1"/>
  <c r="W110" i="1"/>
  <c r="W106" i="1"/>
  <c r="W102" i="1"/>
  <c r="W94" i="1"/>
  <c r="W90" i="1"/>
  <c r="W86" i="1"/>
  <c r="W78" i="1"/>
  <c r="W74" i="1"/>
  <c r="W71" i="1"/>
  <c r="W50" i="1"/>
  <c r="W42" i="1"/>
  <c r="W38" i="1"/>
  <c r="W17" i="1"/>
  <c r="W279" i="1"/>
  <c r="W181" i="1"/>
  <c r="W213" i="1"/>
  <c r="W20" i="1"/>
  <c r="W160" i="1"/>
  <c r="W234" i="1"/>
  <c r="W275" i="1"/>
  <c r="W271" i="1"/>
  <c r="W267" i="1"/>
  <c r="W263" i="1"/>
  <c r="W259" i="1"/>
  <c r="W255" i="1"/>
  <c r="W251" i="1"/>
  <c r="W247" i="1"/>
  <c r="W243" i="1"/>
  <c r="W239" i="1"/>
  <c r="W231" i="1"/>
  <c r="W227" i="1"/>
  <c r="W223" i="1"/>
  <c r="W219" i="1"/>
  <c r="W211" i="1"/>
  <c r="W207" i="1"/>
  <c r="W199" i="1"/>
  <c r="W195" i="1"/>
  <c r="W191" i="1"/>
  <c r="W187" i="1"/>
  <c r="W179" i="1"/>
  <c r="W175" i="1"/>
  <c r="W171" i="1"/>
  <c r="W167" i="1"/>
  <c r="W158" i="1"/>
  <c r="W154" i="1"/>
  <c r="W150" i="1"/>
  <c r="W146" i="1"/>
  <c r="W142" i="1"/>
  <c r="W138" i="1"/>
  <c r="W134" i="1"/>
  <c r="W130" i="1"/>
  <c r="W126" i="1"/>
  <c r="W122" i="1"/>
  <c r="W118" i="1"/>
  <c r="W111" i="1"/>
  <c r="W107" i="1"/>
  <c r="W103" i="1"/>
  <c r="W95" i="1"/>
  <c r="W91" i="1"/>
  <c r="W87" i="1"/>
  <c r="W79" i="1"/>
  <c r="W75" i="1"/>
  <c r="W68" i="1"/>
  <c r="W56" i="1"/>
  <c r="W52" i="1"/>
  <c r="W49" i="1"/>
  <c r="W41" i="1"/>
  <c r="W36" i="1"/>
  <c r="W18" i="1"/>
  <c r="W14" i="1"/>
  <c r="W276" i="1"/>
  <c r="W272" i="1"/>
  <c r="W268" i="1"/>
  <c r="W264" i="1"/>
  <c r="W260" i="1"/>
  <c r="W256" i="1"/>
  <c r="W252" i="1"/>
  <c r="W248" i="1"/>
  <c r="W244" i="1"/>
  <c r="W240" i="1"/>
  <c r="W232" i="1"/>
  <c r="W228" i="1"/>
  <c r="W224" i="1"/>
  <c r="W220" i="1"/>
  <c r="W212" i="1"/>
  <c r="W208" i="1"/>
  <c r="W200" i="1"/>
  <c r="W196" i="1"/>
  <c r="W192" i="1"/>
  <c r="W188" i="1"/>
  <c r="W180" i="1"/>
  <c r="W176" i="1"/>
  <c r="W172" i="1"/>
  <c r="W168" i="1"/>
  <c r="W159" i="1"/>
  <c r="W155" i="1"/>
  <c r="W151" i="1"/>
  <c r="W147" i="1"/>
  <c r="W143" i="1"/>
  <c r="W139" i="1"/>
  <c r="W135" i="1"/>
  <c r="W131" i="1"/>
  <c r="W127" i="1"/>
  <c r="W123" i="1"/>
  <c r="W119" i="1"/>
  <c r="W112" i="1"/>
  <c r="W108" i="1"/>
  <c r="W104" i="1"/>
  <c r="W96" i="1"/>
  <c r="W92" i="1"/>
  <c r="W88" i="1"/>
  <c r="W80" i="1"/>
  <c r="W76" i="1"/>
  <c r="W72" i="1"/>
  <c r="W69" i="1"/>
  <c r="W54" i="1"/>
  <c r="W44" i="1"/>
  <c r="W40" i="1"/>
  <c r="W19" i="1"/>
  <c r="W15" i="1"/>
  <c r="W31" i="1"/>
  <c r="W113" i="1"/>
  <c r="W238" i="1"/>
  <c r="W28" i="1"/>
  <c r="W22" i="1"/>
  <c r="AB8" i="1"/>
  <c r="AB11" i="1"/>
  <c r="AB10" i="1"/>
  <c r="AB9" i="1" s="1"/>
  <c r="AB12" i="1" s="1"/>
  <c r="P31" i="1"/>
  <c r="V81" i="1"/>
  <c r="V24" i="1" s="1"/>
  <c r="W26" i="1"/>
  <c r="AB6" i="1"/>
  <c r="AB7" i="1"/>
  <c r="AB205" i="1"/>
  <c r="AB277" i="1"/>
  <c r="AB274" i="1"/>
  <c r="AB270" i="1"/>
  <c r="AB267" i="1"/>
  <c r="AB255" i="1"/>
  <c r="AB251" i="1"/>
  <c r="AB243" i="1"/>
  <c r="AB239" i="1"/>
  <c r="AB212" i="1"/>
  <c r="AB198" i="1"/>
  <c r="AB194" i="1"/>
  <c r="AB190" i="1"/>
  <c r="AB186" i="1"/>
  <c r="AB178" i="1"/>
  <c r="AB174" i="1"/>
  <c r="AB170" i="1"/>
  <c r="AB165" i="1"/>
  <c r="AB157" i="1"/>
  <c r="AB153" i="1"/>
  <c r="AB149" i="1"/>
  <c r="AB145" i="1"/>
  <c r="AB141" i="1"/>
  <c r="AB137" i="1"/>
  <c r="AB133" i="1"/>
  <c r="AB125" i="1"/>
  <c r="AB121" i="1"/>
  <c r="AB117" i="1"/>
  <c r="AB110" i="1"/>
  <c r="AB102" i="1"/>
  <c r="AB94" i="1"/>
  <c r="AB90" i="1"/>
  <c r="AB86" i="1"/>
  <c r="AB78" i="1"/>
  <c r="AB71" i="1"/>
  <c r="AB51" i="1"/>
  <c r="AB43" i="1"/>
  <c r="AB39" i="1"/>
  <c r="AB278" i="1"/>
  <c r="AB273" i="1"/>
  <c r="AB268" i="1"/>
  <c r="AB256" i="1"/>
  <c r="AB252" i="1"/>
  <c r="AB240" i="1"/>
  <c r="AB231" i="1"/>
  <c r="AB199" i="1"/>
  <c r="AB195" i="1"/>
  <c r="AB191" i="1"/>
  <c r="AB187" i="1"/>
  <c r="AB179" i="1"/>
  <c r="AB175" i="1"/>
  <c r="AB171" i="1"/>
  <c r="AB167" i="1"/>
  <c r="AB158" i="1"/>
  <c r="AB150" i="1"/>
  <c r="AB146" i="1"/>
  <c r="AB142" i="1"/>
  <c r="AB138" i="1"/>
  <c r="AB134" i="1"/>
  <c r="AB130" i="1"/>
  <c r="AB126" i="1"/>
  <c r="AB122" i="1"/>
  <c r="AB118" i="1"/>
  <c r="AB111" i="1"/>
  <c r="AB107" i="1"/>
  <c r="AB103" i="1"/>
  <c r="AB95" i="1"/>
  <c r="AB87" i="1"/>
  <c r="AB77" i="1"/>
  <c r="AB70" i="1"/>
  <c r="AB67" i="1"/>
  <c r="AB55" i="1"/>
  <c r="AB50" i="1"/>
  <c r="AB42" i="1"/>
  <c r="AB38" i="1"/>
  <c r="AB17" i="1"/>
  <c r="AB238" i="1"/>
  <c r="AB85" i="1"/>
  <c r="AB181" i="1"/>
  <c r="AB217" i="1"/>
  <c r="AB276" i="1"/>
  <c r="AB272" i="1"/>
  <c r="AB269" i="1"/>
  <c r="AB257" i="1"/>
  <c r="AB241" i="1"/>
  <c r="AB233" i="1"/>
  <c r="AB209" i="1"/>
  <c r="AB200" i="1"/>
  <c r="AB196" i="1"/>
  <c r="AB192" i="1"/>
  <c r="AB188" i="1"/>
  <c r="AB180" i="1"/>
  <c r="AB176" i="1"/>
  <c r="AB172" i="1"/>
  <c r="AB168" i="1"/>
  <c r="AB159" i="1"/>
  <c r="AB151" i="1"/>
  <c r="AB147" i="1"/>
  <c r="AB143" i="1"/>
  <c r="AB139" i="1"/>
  <c r="AB135" i="1"/>
  <c r="AB131" i="1"/>
  <c r="AB127" i="1"/>
  <c r="AB123" i="1"/>
  <c r="AB119" i="1"/>
  <c r="AB112" i="1"/>
  <c r="AB104" i="1"/>
  <c r="AB96" i="1"/>
  <c r="AB88" i="1"/>
  <c r="AB80" i="1"/>
  <c r="AB72" i="1"/>
  <c r="AB69" i="1"/>
  <c r="AB54" i="1"/>
  <c r="AB49" i="1"/>
  <c r="AB41" i="1"/>
  <c r="AB36" i="1"/>
  <c r="AB14" i="1"/>
  <c r="AB275" i="1"/>
  <c r="AB271" i="1"/>
  <c r="AB266" i="1"/>
  <c r="AB258" i="1"/>
  <c r="AB242" i="1"/>
  <c r="AB210" i="1"/>
  <c r="AB197" i="1"/>
  <c r="AB193" i="1"/>
  <c r="AB189" i="1"/>
  <c r="AB177" i="1"/>
  <c r="AB173" i="1"/>
  <c r="AB169" i="1"/>
  <c r="AB164" i="1"/>
  <c r="AB156" i="1"/>
  <c r="AB148" i="1"/>
  <c r="AB144" i="1"/>
  <c r="AB140" i="1"/>
  <c r="AB136" i="1"/>
  <c r="AB132" i="1"/>
  <c r="AB128" i="1"/>
  <c r="AB124" i="1"/>
  <c r="AB120" i="1"/>
  <c r="AB116" i="1"/>
  <c r="AB109" i="1"/>
  <c r="AB105" i="1"/>
  <c r="AB101" i="1"/>
  <c r="AB89" i="1"/>
  <c r="AB79" i="1"/>
  <c r="AB68" i="1"/>
  <c r="AB56" i="1"/>
  <c r="AB52" i="1"/>
  <c r="AB44" i="1"/>
  <c r="AB40" i="1"/>
  <c r="AB19" i="1"/>
  <c r="AB15" i="1"/>
  <c r="AB224" i="1"/>
  <c r="AB211" i="1"/>
  <c r="AB232" i="1"/>
  <c r="F12" i="1" l="1"/>
  <c r="G7" i="1"/>
  <c r="E138" i="1"/>
  <c r="G52" i="1"/>
  <c r="F29" i="1"/>
  <c r="G213" i="1"/>
  <c r="F113" i="1"/>
  <c r="G108" i="1"/>
  <c r="G24" i="1"/>
  <c r="D234" i="1"/>
  <c r="E220" i="1"/>
  <c r="R28" i="1"/>
  <c r="R32" i="1" s="1"/>
  <c r="G278" i="1"/>
  <c r="G276" i="1"/>
  <c r="G271" i="1"/>
  <c r="G27" i="1"/>
  <c r="U5" i="1"/>
  <c r="AC186" i="1"/>
  <c r="AF224" i="1"/>
  <c r="AA226" i="1"/>
  <c r="AD226" i="1" s="1"/>
  <c r="AA91" i="1"/>
  <c r="AD91" i="1" s="1"/>
  <c r="AA219" i="1"/>
  <c r="AD219" i="1" s="1"/>
  <c r="AA227" i="1"/>
  <c r="AD227" i="1" s="1"/>
  <c r="AA229" i="1"/>
  <c r="AD229" i="1" s="1"/>
  <c r="AF291" i="1"/>
  <c r="AF289" i="1"/>
  <c r="AD294" i="1"/>
  <c r="AC294" i="1"/>
  <c r="K6" i="1"/>
  <c r="AF56" i="1"/>
  <c r="AF294" i="1"/>
  <c r="AC205" i="1"/>
  <c r="AC238" i="1"/>
  <c r="AF205" i="1"/>
  <c r="AF238" i="1"/>
  <c r="AF14" i="1"/>
  <c r="AF181" i="1"/>
  <c r="AC211" i="1"/>
  <c r="AC277" i="1"/>
  <c r="AF211" i="1"/>
  <c r="AF277" i="1"/>
  <c r="AC56" i="1"/>
  <c r="T28" i="1"/>
  <c r="T32" i="1" s="1"/>
  <c r="U32" i="1" s="1"/>
  <c r="AA223" i="1"/>
  <c r="AC129" i="1"/>
  <c r="AB129" i="1"/>
  <c r="T311" i="1"/>
  <c r="T37" i="1" s="1"/>
  <c r="U7" i="1"/>
  <c r="U277" i="1"/>
  <c r="U275" i="1"/>
  <c r="U273" i="1"/>
  <c r="U271" i="1"/>
  <c r="U269" i="1"/>
  <c r="U267" i="1"/>
  <c r="U265" i="1"/>
  <c r="U263" i="1"/>
  <c r="U261" i="1"/>
  <c r="U259" i="1"/>
  <c r="U257" i="1"/>
  <c r="U255" i="1"/>
  <c r="U253" i="1"/>
  <c r="U251" i="1"/>
  <c r="U249" i="1"/>
  <c r="U247" i="1"/>
  <c r="U245" i="1"/>
  <c r="U243" i="1"/>
  <c r="U241" i="1"/>
  <c r="U239" i="1"/>
  <c r="U238" i="1"/>
  <c r="U232" i="1"/>
  <c r="U230" i="1"/>
  <c r="U228" i="1"/>
  <c r="U226" i="1"/>
  <c r="U224" i="1"/>
  <c r="U222" i="1"/>
  <c r="U220" i="1"/>
  <c r="U218" i="1"/>
  <c r="U213" i="1"/>
  <c r="U212" i="1"/>
  <c r="U210" i="1"/>
  <c r="U208" i="1"/>
  <c r="U206" i="1"/>
  <c r="U201" i="1"/>
  <c r="U200" i="1"/>
  <c r="U198" i="1"/>
  <c r="U196" i="1"/>
  <c r="U194" i="1"/>
  <c r="U192" i="1"/>
  <c r="U190" i="1"/>
  <c r="U188" i="1"/>
  <c r="U186" i="1"/>
  <c r="U181" i="1"/>
  <c r="U180" i="1"/>
  <c r="U178" i="1"/>
  <c r="U176" i="1"/>
  <c r="U174" i="1"/>
  <c r="U172" i="1"/>
  <c r="U170" i="1"/>
  <c r="U168" i="1"/>
  <c r="U165" i="1"/>
  <c r="U159" i="1"/>
  <c r="U157" i="1"/>
  <c r="U155" i="1"/>
  <c r="U153" i="1"/>
  <c r="U151" i="1"/>
  <c r="U149" i="1"/>
  <c r="U147" i="1"/>
  <c r="U145" i="1"/>
  <c r="U143" i="1"/>
  <c r="U141" i="1"/>
  <c r="U139" i="1"/>
  <c r="U137" i="1"/>
  <c r="U135" i="1"/>
  <c r="U133" i="1"/>
  <c r="U131" i="1"/>
  <c r="U129" i="1"/>
  <c r="U127" i="1"/>
  <c r="U125" i="1"/>
  <c r="U123" i="1"/>
  <c r="U121" i="1"/>
  <c r="U119" i="1"/>
  <c r="U117" i="1"/>
  <c r="U112" i="1"/>
  <c r="U110" i="1"/>
  <c r="U108" i="1"/>
  <c r="U106" i="1"/>
  <c r="U104" i="1"/>
  <c r="U102" i="1"/>
  <c r="U96" i="1"/>
  <c r="U94" i="1"/>
  <c r="U92" i="1"/>
  <c r="U90" i="1"/>
  <c r="U88" i="1"/>
  <c r="U86" i="1"/>
  <c r="U80" i="1"/>
  <c r="U78" i="1"/>
  <c r="U76" i="1"/>
  <c r="U74" i="1"/>
  <c r="U72" i="1"/>
  <c r="U71" i="1"/>
  <c r="U69" i="1"/>
  <c r="U55" i="1"/>
  <c r="U51" i="1"/>
  <c r="U49" i="1"/>
  <c r="U43" i="1"/>
  <c r="U41" i="1"/>
  <c r="U39" i="1"/>
  <c r="U36" i="1"/>
  <c r="T22" i="1"/>
  <c r="U18" i="1"/>
  <c r="U16" i="1"/>
  <c r="U14" i="1"/>
  <c r="U278" i="1"/>
  <c r="U276" i="1"/>
  <c r="U274" i="1"/>
  <c r="U272" i="1"/>
  <c r="U270" i="1"/>
  <c r="U268" i="1"/>
  <c r="U266" i="1"/>
  <c r="U264" i="1"/>
  <c r="U262" i="1"/>
  <c r="U260" i="1"/>
  <c r="U258" i="1"/>
  <c r="U256" i="1"/>
  <c r="U254" i="1"/>
  <c r="U252" i="1"/>
  <c r="U250" i="1"/>
  <c r="U248" i="1"/>
  <c r="U246" i="1"/>
  <c r="U244" i="1"/>
  <c r="U242" i="1"/>
  <c r="U240" i="1"/>
  <c r="U233" i="1"/>
  <c r="U231" i="1"/>
  <c r="U229" i="1"/>
  <c r="U227" i="1"/>
  <c r="U225" i="1"/>
  <c r="U223" i="1"/>
  <c r="U221" i="1"/>
  <c r="U219" i="1"/>
  <c r="U217" i="1"/>
  <c r="U211" i="1"/>
  <c r="U209" i="1"/>
  <c r="U207" i="1"/>
  <c r="U205" i="1"/>
  <c r="U199" i="1"/>
  <c r="U197" i="1"/>
  <c r="U195" i="1"/>
  <c r="U193" i="1"/>
  <c r="U191" i="1"/>
  <c r="U189" i="1"/>
  <c r="U187" i="1"/>
  <c r="U185" i="1"/>
  <c r="U179" i="1"/>
  <c r="U177" i="1"/>
  <c r="U175" i="1"/>
  <c r="U173" i="1"/>
  <c r="U171" i="1"/>
  <c r="U169" i="1"/>
  <c r="U167" i="1"/>
  <c r="U164" i="1"/>
  <c r="U158" i="1"/>
  <c r="U156" i="1"/>
  <c r="U154" i="1"/>
  <c r="U152" i="1"/>
  <c r="U150" i="1"/>
  <c r="U148" i="1"/>
  <c r="U146" i="1"/>
  <c r="U144" i="1"/>
  <c r="U142" i="1"/>
  <c r="U140" i="1"/>
  <c r="U138" i="1"/>
  <c r="U136" i="1"/>
  <c r="U134" i="1"/>
  <c r="U132" i="1"/>
  <c r="U130" i="1"/>
  <c r="U128" i="1"/>
  <c r="U126" i="1"/>
  <c r="U124" i="1"/>
  <c r="U122" i="1"/>
  <c r="U120" i="1"/>
  <c r="U118" i="1"/>
  <c r="U116" i="1"/>
  <c r="U111" i="1"/>
  <c r="U109" i="1"/>
  <c r="U107" i="1"/>
  <c r="U105" i="1"/>
  <c r="U103" i="1"/>
  <c r="U101" i="1"/>
  <c r="U95" i="1"/>
  <c r="U93" i="1"/>
  <c r="U91" i="1"/>
  <c r="U89" i="1"/>
  <c r="U87" i="1"/>
  <c r="U85" i="1"/>
  <c r="U79" i="1"/>
  <c r="U77" i="1"/>
  <c r="U75" i="1"/>
  <c r="U73" i="1"/>
  <c r="U70" i="1"/>
  <c r="U68" i="1"/>
  <c r="U67" i="1"/>
  <c r="U54" i="1"/>
  <c r="U50" i="1"/>
  <c r="U44" i="1"/>
  <c r="U42" i="1"/>
  <c r="U40" i="1"/>
  <c r="U38" i="1"/>
  <c r="U31" i="1"/>
  <c r="U30" i="1"/>
  <c r="U29" i="1"/>
  <c r="U19" i="1"/>
  <c r="U17" i="1"/>
  <c r="U15" i="1"/>
  <c r="U26" i="1"/>
  <c r="U28" i="1"/>
  <c r="U52" i="1"/>
  <c r="U97" i="1"/>
  <c r="U160" i="1"/>
  <c r="U234" i="1"/>
  <c r="T45" i="1"/>
  <c r="U45" i="1" s="1"/>
  <c r="U37" i="1"/>
  <c r="U20" i="1"/>
  <c r="U25" i="1"/>
  <c r="U27" i="1"/>
  <c r="U56" i="1"/>
  <c r="U81" i="1"/>
  <c r="U113" i="1"/>
  <c r="U279" i="1"/>
  <c r="U10" i="1"/>
  <c r="U9" i="1" s="1"/>
  <c r="U12" i="1" s="1"/>
  <c r="U24" i="1"/>
  <c r="U6" i="1"/>
  <c r="U8" i="1"/>
  <c r="AD185" i="1"/>
  <c r="AD201" i="1" s="1"/>
  <c r="AF9" i="1"/>
  <c r="AF12" i="1"/>
  <c r="AA185" i="1"/>
  <c r="Y185" i="1"/>
  <c r="Z185" i="1"/>
  <c r="X201" i="1"/>
  <c r="Y201" i="1" s="1"/>
  <c r="AC9" i="1"/>
  <c r="Y6" i="1"/>
  <c r="Y8" i="1"/>
  <c r="Y11" i="1"/>
  <c r="Y15" i="1"/>
  <c r="Y17" i="1"/>
  <c r="Y19" i="1"/>
  <c r="Y25" i="1"/>
  <c r="Y27" i="1"/>
  <c r="Y39" i="1"/>
  <c r="Y41" i="1"/>
  <c r="Y43" i="1"/>
  <c r="Y50" i="1"/>
  <c r="Y52" i="1"/>
  <c r="Y55" i="1"/>
  <c r="Y67" i="1"/>
  <c r="Y68" i="1"/>
  <c r="Y70" i="1"/>
  <c r="Y73" i="1"/>
  <c r="Y75" i="1"/>
  <c r="Y77" i="1"/>
  <c r="Y79" i="1"/>
  <c r="Y81" i="1"/>
  <c r="Y86" i="1"/>
  <c r="Y88" i="1"/>
  <c r="Y90" i="1"/>
  <c r="Y92" i="1"/>
  <c r="Y94" i="1"/>
  <c r="Y96" i="1"/>
  <c r="Y101" i="1"/>
  <c r="Y103" i="1"/>
  <c r="Y105" i="1"/>
  <c r="Y107" i="1"/>
  <c r="Y109" i="1"/>
  <c r="Y111" i="1"/>
  <c r="Y113" i="1"/>
  <c r="Y117" i="1"/>
  <c r="Y119" i="1"/>
  <c r="Y121" i="1"/>
  <c r="Y123" i="1"/>
  <c r="Y125" i="1"/>
  <c r="Y127" i="1"/>
  <c r="Y129" i="1"/>
  <c r="Y131" i="1"/>
  <c r="Y133" i="1"/>
  <c r="Y135" i="1"/>
  <c r="Y137" i="1"/>
  <c r="Y139" i="1"/>
  <c r="Y141" i="1"/>
  <c r="Y143" i="1"/>
  <c r="Y145" i="1"/>
  <c r="Y147" i="1"/>
  <c r="Y149" i="1"/>
  <c r="Y151" i="1"/>
  <c r="Y153" i="1"/>
  <c r="Y155" i="1"/>
  <c r="Y157" i="1"/>
  <c r="Y159" i="1"/>
  <c r="Y164" i="1"/>
  <c r="Y167" i="1"/>
  <c r="Y169" i="1"/>
  <c r="Y171" i="1"/>
  <c r="Y173" i="1"/>
  <c r="Y175" i="1"/>
  <c r="Y177" i="1"/>
  <c r="Y179" i="1"/>
  <c r="Y181" i="1"/>
  <c r="Y186" i="1"/>
  <c r="Y188" i="1"/>
  <c r="Y190" i="1"/>
  <c r="Y192" i="1"/>
  <c r="Y194" i="1"/>
  <c r="Y196" i="1"/>
  <c r="Y198" i="1"/>
  <c r="Y200" i="1"/>
  <c r="Y206" i="1"/>
  <c r="Y208" i="1"/>
  <c r="Y210" i="1"/>
  <c r="Y212" i="1"/>
  <c r="Y217" i="1"/>
  <c r="Y219" i="1"/>
  <c r="Y222" i="1"/>
  <c r="Y224" i="1"/>
  <c r="Y226" i="1"/>
  <c r="Y228" i="1"/>
  <c r="Y230" i="1"/>
  <c r="Y232" i="1"/>
  <c r="Y238" i="1"/>
  <c r="Y239" i="1"/>
  <c r="Y241" i="1"/>
  <c r="Y243" i="1"/>
  <c r="Y245" i="1"/>
  <c r="Y247" i="1"/>
  <c r="Y249" i="1"/>
  <c r="Y251" i="1"/>
  <c r="Y253" i="1"/>
  <c r="Y255" i="1"/>
  <c r="Y257" i="1"/>
  <c r="Y259" i="1"/>
  <c r="Y261" i="1"/>
  <c r="Y263" i="1"/>
  <c r="Y265" i="1"/>
  <c r="Y267" i="1"/>
  <c r="Y269" i="1"/>
  <c r="Y271" i="1"/>
  <c r="Y273" i="1"/>
  <c r="Y275" i="1"/>
  <c r="Y277" i="1"/>
  <c r="Y279" i="1"/>
  <c r="AC12" i="1"/>
  <c r="Y5" i="1"/>
  <c r="Y7" i="1"/>
  <c r="Y10" i="1"/>
  <c r="Y9" i="1" s="1"/>
  <c r="Y12" i="1" s="1"/>
  <c r="Y14" i="1"/>
  <c r="Y36" i="1"/>
  <c r="Y38" i="1"/>
  <c r="Y40" i="1"/>
  <c r="Y42" i="1"/>
  <c r="Y44" i="1"/>
  <c r="Y49" i="1"/>
  <c r="Y51" i="1"/>
  <c r="Y54" i="1"/>
  <c r="Y56" i="1"/>
  <c r="Y69" i="1"/>
  <c r="Y71" i="1"/>
  <c r="Y72" i="1"/>
  <c r="Y74" i="1"/>
  <c r="Y76" i="1"/>
  <c r="Y78" i="1"/>
  <c r="Y80" i="1"/>
  <c r="Y85" i="1"/>
  <c r="Y87" i="1"/>
  <c r="Y89" i="1"/>
  <c r="Y91" i="1"/>
  <c r="Y93" i="1"/>
  <c r="Y95" i="1"/>
  <c r="Y97" i="1"/>
  <c r="Y102" i="1"/>
  <c r="Y104" i="1"/>
  <c r="Y106" i="1"/>
  <c r="Y108" i="1"/>
  <c r="Y110" i="1"/>
  <c r="Y112" i="1"/>
  <c r="Y116" i="1"/>
  <c r="Y118" i="1"/>
  <c r="Y120" i="1"/>
  <c r="Y122" i="1"/>
  <c r="Y124" i="1"/>
  <c r="Y126" i="1"/>
  <c r="Y128" i="1"/>
  <c r="Y130" i="1"/>
  <c r="Y132" i="1"/>
  <c r="Y134" i="1"/>
  <c r="Y136" i="1"/>
  <c r="Y138" i="1"/>
  <c r="Y140" i="1"/>
  <c r="Y142" i="1"/>
  <c r="Y144" i="1"/>
  <c r="Y146" i="1"/>
  <c r="Y148" i="1"/>
  <c r="Y150" i="1"/>
  <c r="Y152" i="1"/>
  <c r="Y154" i="1"/>
  <c r="Y156" i="1"/>
  <c r="Y158" i="1"/>
  <c r="Y160" i="1"/>
  <c r="Y165" i="1"/>
  <c r="Y168" i="1"/>
  <c r="Y170" i="1"/>
  <c r="Y172" i="1"/>
  <c r="Y174" i="1"/>
  <c r="Y176" i="1"/>
  <c r="Y178" i="1"/>
  <c r="Y180" i="1"/>
  <c r="Y187" i="1"/>
  <c r="Y189" i="1"/>
  <c r="Y191" i="1"/>
  <c r="Y193" i="1"/>
  <c r="Y195" i="1"/>
  <c r="Y197" i="1"/>
  <c r="Y199" i="1"/>
  <c r="Y205" i="1"/>
  <c r="Y207" i="1"/>
  <c r="Y209" i="1"/>
  <c r="Y211" i="1"/>
  <c r="Y218" i="1"/>
  <c r="Y220" i="1"/>
  <c r="Y223" i="1"/>
  <c r="Y225" i="1"/>
  <c r="Y227" i="1"/>
  <c r="Y229" i="1"/>
  <c r="Y231" i="1"/>
  <c r="Y233" i="1"/>
  <c r="Y240" i="1"/>
  <c r="Y242" i="1"/>
  <c r="Y244" i="1"/>
  <c r="Y246" i="1"/>
  <c r="Y248" i="1"/>
  <c r="Y250" i="1"/>
  <c r="Y252" i="1"/>
  <c r="Y254" i="1"/>
  <c r="Y256" i="1"/>
  <c r="Y258" i="1"/>
  <c r="Y260" i="1"/>
  <c r="Y262" i="1"/>
  <c r="Y264" i="1"/>
  <c r="Y266" i="1"/>
  <c r="Y268" i="1"/>
  <c r="Y270" i="1"/>
  <c r="Y272" i="1"/>
  <c r="Y274" i="1"/>
  <c r="Y276" i="1"/>
  <c r="Y278" i="1"/>
  <c r="Y221" i="1"/>
  <c r="P9" i="1"/>
  <c r="X28" i="1"/>
  <c r="Y28" i="1" s="1"/>
  <c r="X213" i="1"/>
  <c r="Y213" i="1" s="1"/>
  <c r="AD28" i="1"/>
  <c r="L311" i="1"/>
  <c r="L37" i="1" s="1"/>
  <c r="G5" i="1"/>
  <c r="G10" i="1"/>
  <c r="G9" i="1" s="1"/>
  <c r="G12" i="1" s="1"/>
  <c r="K8" i="1"/>
  <c r="E20" i="1"/>
  <c r="E22" i="1" s="1"/>
  <c r="J20" i="1"/>
  <c r="F20" i="1"/>
  <c r="F22" i="1" s="1"/>
  <c r="N9" i="1"/>
  <c r="O8" i="1" s="1"/>
  <c r="P28" i="1"/>
  <c r="G113" i="1"/>
  <c r="F26" i="1"/>
  <c r="G26" i="1" s="1"/>
  <c r="D27" i="1"/>
  <c r="E27" i="1" s="1"/>
  <c r="E160" i="1"/>
  <c r="P12" i="1"/>
  <c r="Q5" i="1"/>
  <c r="Q8" i="1"/>
  <c r="Q6" i="1"/>
  <c r="Q7" i="1"/>
  <c r="N12" i="1"/>
  <c r="O15" i="1" s="1"/>
  <c r="O6" i="1"/>
  <c r="O10" i="1"/>
  <c r="O9" i="1" s="1"/>
  <c r="O12" i="1" s="1"/>
  <c r="O7" i="1"/>
  <c r="O5" i="1"/>
  <c r="Q31" i="1"/>
  <c r="Q30" i="1"/>
  <c r="Q279" i="1"/>
  <c r="Q26" i="1"/>
  <c r="O56" i="1"/>
  <c r="O97" i="1"/>
  <c r="O201" i="1"/>
  <c r="Z14" i="1"/>
  <c r="Z56" i="1"/>
  <c r="Z25" i="1"/>
  <c r="Z27" i="1"/>
  <c r="Z201" i="1"/>
  <c r="Z279" i="1"/>
  <c r="Z309" i="1"/>
  <c r="Z205" i="1"/>
  <c r="Z277" i="1"/>
  <c r="E167" i="1"/>
  <c r="E108" i="1"/>
  <c r="G29" i="1"/>
  <c r="K150" i="1"/>
  <c r="G6" i="1"/>
  <c r="G8" i="1"/>
  <c r="K5" i="1"/>
  <c r="K7" i="1"/>
  <c r="K10" i="1"/>
  <c r="K9" i="1" s="1"/>
  <c r="K12" i="1" s="1"/>
  <c r="N28" i="1"/>
  <c r="O28" i="1" s="1"/>
  <c r="N20" i="1"/>
  <c r="O20" i="1" s="1"/>
  <c r="O16" i="1"/>
  <c r="O14" i="1"/>
  <c r="O113" i="1"/>
  <c r="N160" i="1"/>
  <c r="AB5" i="1"/>
  <c r="Z12" i="1"/>
  <c r="Z52" i="1"/>
  <c r="Z81" i="1"/>
  <c r="Z113" i="1"/>
  <c r="Z28" i="1"/>
  <c r="Z213" i="1"/>
  <c r="Z294" i="1"/>
  <c r="Z238" i="1"/>
  <c r="O160" i="1"/>
  <c r="N27" i="1"/>
  <c r="O27" i="1" s="1"/>
  <c r="Z224" i="1"/>
  <c r="X234" i="1"/>
  <c r="O150" i="1"/>
  <c r="O174" i="1"/>
  <c r="O176" i="1"/>
  <c r="O178" i="1"/>
  <c r="O187" i="1"/>
  <c r="O191" i="1"/>
  <c r="O195" i="1"/>
  <c r="O199" i="1"/>
  <c r="O205" i="1"/>
  <c r="O211" i="1"/>
  <c r="O221" i="1"/>
  <c r="Z211" i="1"/>
  <c r="Z270" i="1"/>
  <c r="Z160" i="1"/>
  <c r="Z97" i="1"/>
  <c r="Z9" i="1"/>
  <c r="AB16" i="1"/>
  <c r="Q260" i="1"/>
  <c r="Q138" i="1"/>
  <c r="O217" i="1"/>
  <c r="O225" i="1"/>
  <c r="AD20" i="1"/>
  <c r="AA18" i="1"/>
  <c r="W37" i="1"/>
  <c r="V45" i="1"/>
  <c r="W45" i="1" s="1"/>
  <c r="Q108" i="1"/>
  <c r="O229" i="1"/>
  <c r="W30" i="1"/>
  <c r="AE6" i="1"/>
  <c r="S158" i="1"/>
  <c r="S133" i="1"/>
  <c r="S116" i="1"/>
  <c r="S94" i="1"/>
  <c r="S75" i="1"/>
  <c r="S44" i="1"/>
  <c r="S275" i="1"/>
  <c r="S224" i="1"/>
  <c r="S218" i="1"/>
  <c r="S272" i="1"/>
  <c r="S253" i="1"/>
  <c r="S213" i="1"/>
  <c r="S193" i="1"/>
  <c r="S171" i="1"/>
  <c r="S144" i="1"/>
  <c r="S125" i="1"/>
  <c r="S106" i="1"/>
  <c r="S87" i="1"/>
  <c r="S36" i="1"/>
  <c r="S71" i="1"/>
  <c r="S274" i="1"/>
  <c r="S254" i="1"/>
  <c r="S238" i="1"/>
  <c r="S194" i="1"/>
  <c r="S172" i="1"/>
  <c r="S152" i="1"/>
  <c r="S126" i="1"/>
  <c r="S107" i="1"/>
  <c r="S88" i="1"/>
  <c r="S68" i="1"/>
  <c r="S38" i="1"/>
  <c r="S136" i="1"/>
  <c r="S187" i="1"/>
  <c r="S273" i="1"/>
  <c r="S233" i="1"/>
  <c r="S264" i="1"/>
  <c r="S247" i="1"/>
  <c r="S206" i="1"/>
  <c r="S181" i="1"/>
  <c r="S164" i="1"/>
  <c r="S137" i="1"/>
  <c r="S119" i="1"/>
  <c r="S93" i="1"/>
  <c r="S74" i="1"/>
  <c r="S43" i="1"/>
  <c r="S148" i="1"/>
  <c r="S146" i="1"/>
  <c r="S265" i="1"/>
  <c r="S248" i="1"/>
  <c r="S208" i="1"/>
  <c r="S185" i="1"/>
  <c r="S165" i="1"/>
  <c r="S138" i="1"/>
  <c r="S120" i="1"/>
  <c r="S101" i="1"/>
  <c r="S79" i="1"/>
  <c r="S52" i="1"/>
  <c r="S16" i="1"/>
  <c r="S255" i="1"/>
  <c r="S219" i="1"/>
  <c r="S228" i="1"/>
  <c r="S278" i="1"/>
  <c r="S258" i="1"/>
  <c r="S240" i="1"/>
  <c r="S197" i="1"/>
  <c r="S175" i="1"/>
  <c r="S155" i="1"/>
  <c r="S129" i="1"/>
  <c r="S111" i="1"/>
  <c r="S91" i="1"/>
  <c r="S72" i="1"/>
  <c r="S41" i="1"/>
  <c r="S230" i="1"/>
  <c r="S279" i="1"/>
  <c r="S259" i="1"/>
  <c r="S241" i="1"/>
  <c r="S198" i="1"/>
  <c r="S176" i="1"/>
  <c r="S156" i="1"/>
  <c r="S130" i="1"/>
  <c r="S112" i="1"/>
  <c r="S92" i="1"/>
  <c r="S73" i="1"/>
  <c r="S42" i="1"/>
  <c r="S150" i="1"/>
  <c r="S149" i="1"/>
  <c r="S113" i="1"/>
  <c r="S24" i="1"/>
  <c r="S31" i="1"/>
  <c r="S142" i="1"/>
  <c r="S124" i="1"/>
  <c r="S105" i="1"/>
  <c r="S86" i="1"/>
  <c r="S67" i="1"/>
  <c r="S20" i="1"/>
  <c r="S226" i="1"/>
  <c r="S266" i="1"/>
  <c r="S223" i="1"/>
  <c r="S232" i="1"/>
  <c r="S262" i="1"/>
  <c r="S245" i="1"/>
  <c r="S201" i="1"/>
  <c r="S179" i="1"/>
  <c r="S159" i="1"/>
  <c r="S134" i="1"/>
  <c r="S117" i="1"/>
  <c r="S95" i="1"/>
  <c r="S76" i="1"/>
  <c r="S49" i="1"/>
  <c r="S145" i="1"/>
  <c r="S132" i="1"/>
  <c r="S263" i="1"/>
  <c r="S246" i="1"/>
  <c r="S205" i="1"/>
  <c r="S180" i="1"/>
  <c r="S160" i="1"/>
  <c r="S135" i="1"/>
  <c r="S118" i="1"/>
  <c r="S96" i="1"/>
  <c r="S77" i="1"/>
  <c r="S50" i="1"/>
  <c r="S14" i="1"/>
  <c r="S207" i="1"/>
  <c r="S109" i="1"/>
  <c r="S220" i="1"/>
  <c r="S276" i="1"/>
  <c r="S256" i="1"/>
  <c r="S195" i="1"/>
  <c r="S173" i="1"/>
  <c r="S153" i="1"/>
  <c r="S127" i="1"/>
  <c r="S104" i="1"/>
  <c r="S85" i="1"/>
  <c r="S56" i="1"/>
  <c r="S19" i="1"/>
  <c r="S268" i="1"/>
  <c r="S277" i="1"/>
  <c r="S257" i="1"/>
  <c r="S239" i="1"/>
  <c r="S196" i="1"/>
  <c r="S174" i="1"/>
  <c r="S154" i="1"/>
  <c r="S128" i="1"/>
  <c r="S110" i="1"/>
  <c r="S90" i="1"/>
  <c r="S70" i="1"/>
  <c r="S40" i="1"/>
  <c r="S147" i="1"/>
  <c r="S143" i="1"/>
  <c r="S221" i="1"/>
  <c r="S234" i="1"/>
  <c r="S267" i="1"/>
  <c r="S249" i="1"/>
  <c r="S209" i="1"/>
  <c r="S189" i="1"/>
  <c r="S167" i="1"/>
  <c r="S139" i="1"/>
  <c r="S121" i="1"/>
  <c r="S102" i="1"/>
  <c r="S80" i="1"/>
  <c r="S54" i="1"/>
  <c r="S17" i="1"/>
  <c r="S151" i="1"/>
  <c r="S269" i="1"/>
  <c r="S250" i="1"/>
  <c r="S210" i="1"/>
  <c r="S190" i="1"/>
  <c r="S168" i="1"/>
  <c r="S140" i="1"/>
  <c r="S122" i="1"/>
  <c r="S103" i="1"/>
  <c r="S81" i="1"/>
  <c r="S55" i="1"/>
  <c r="S18" i="1"/>
  <c r="S186" i="1"/>
  <c r="S29" i="1"/>
  <c r="S27" i="1"/>
  <c r="S32" i="1"/>
  <c r="S25" i="1"/>
  <c r="O219" i="1"/>
  <c r="O223" i="1"/>
  <c r="O227" i="1"/>
  <c r="O231" i="1"/>
  <c r="Z181" i="1"/>
  <c r="R22" i="1"/>
  <c r="S22" i="1" s="1"/>
  <c r="AE5" i="1"/>
  <c r="AE7" i="1"/>
  <c r="AE52" i="1"/>
  <c r="AE181" i="1"/>
  <c r="X311" i="1"/>
  <c r="X26" i="1"/>
  <c r="Z26" i="1" s="1"/>
  <c r="X24" i="1"/>
  <c r="Z24" i="1" s="1"/>
  <c r="AE277" i="1"/>
  <c r="AE275" i="1"/>
  <c r="AE273" i="1"/>
  <c r="AE271" i="1"/>
  <c r="AE268" i="1"/>
  <c r="AE266" i="1"/>
  <c r="AE258" i="1"/>
  <c r="AE256" i="1"/>
  <c r="AE252" i="1"/>
  <c r="AE242" i="1"/>
  <c r="AE240" i="1"/>
  <c r="AE233" i="1"/>
  <c r="AE231" i="1"/>
  <c r="AE212" i="1"/>
  <c r="AE209" i="1"/>
  <c r="AE205" i="1"/>
  <c r="AE199" i="1"/>
  <c r="AE197" i="1"/>
  <c r="AE195" i="1"/>
  <c r="AE193" i="1"/>
  <c r="AE191" i="1"/>
  <c r="AE189" i="1"/>
  <c r="AE187" i="1"/>
  <c r="AE185" i="1"/>
  <c r="AE179" i="1"/>
  <c r="AE177" i="1"/>
  <c r="AE175" i="1"/>
  <c r="AE173" i="1"/>
  <c r="AE171" i="1"/>
  <c r="AE169" i="1"/>
  <c r="AE167" i="1"/>
  <c r="AE164" i="1"/>
  <c r="AE158" i="1"/>
  <c r="AE156" i="1"/>
  <c r="AE150" i="1"/>
  <c r="AE148" i="1"/>
  <c r="AE146" i="1"/>
  <c r="AE144" i="1"/>
  <c r="AE142" i="1"/>
  <c r="AE140" i="1"/>
  <c r="AE138" i="1"/>
  <c r="AE136" i="1"/>
  <c r="AE134" i="1"/>
  <c r="AE132" i="1"/>
  <c r="AE130" i="1"/>
  <c r="AE128" i="1"/>
  <c r="AE126" i="1"/>
  <c r="AE124" i="1"/>
  <c r="AE122" i="1"/>
  <c r="AE120" i="1"/>
  <c r="AE118" i="1"/>
  <c r="AE116" i="1"/>
  <c r="AE111" i="1"/>
  <c r="AE109" i="1"/>
  <c r="AE107" i="1"/>
  <c r="AE105" i="1"/>
  <c r="AE103" i="1"/>
  <c r="AE101" i="1"/>
  <c r="AE95" i="1"/>
  <c r="AE89" i="1"/>
  <c r="AE87" i="1"/>
  <c r="AE85" i="1"/>
  <c r="AE79" i="1"/>
  <c r="AE77" i="1"/>
  <c r="AE70" i="1"/>
  <c r="AE68" i="1"/>
  <c r="AE67" i="1"/>
  <c r="AE54" i="1"/>
  <c r="AE50" i="1"/>
  <c r="AE44" i="1"/>
  <c r="AE42" i="1"/>
  <c r="AE40" i="1"/>
  <c r="AE38" i="1"/>
  <c r="AE19" i="1"/>
  <c r="AE17" i="1"/>
  <c r="AE15" i="1"/>
  <c r="AE278" i="1"/>
  <c r="AE276" i="1"/>
  <c r="AE274" i="1"/>
  <c r="AE272" i="1"/>
  <c r="AE269" i="1"/>
  <c r="AE267" i="1"/>
  <c r="AE257" i="1"/>
  <c r="AE255" i="1"/>
  <c r="AE251" i="1"/>
  <c r="AE243" i="1"/>
  <c r="AE241" i="1"/>
  <c r="AE239" i="1"/>
  <c r="AE238" i="1"/>
  <c r="AE232" i="1"/>
  <c r="AE217" i="1"/>
  <c r="AE211" i="1"/>
  <c r="AE210" i="1"/>
  <c r="AE200" i="1"/>
  <c r="AE198" i="1"/>
  <c r="AE196" i="1"/>
  <c r="AE194" i="1"/>
  <c r="AE192" i="1"/>
  <c r="AE190" i="1"/>
  <c r="AE188" i="1"/>
  <c r="AE186" i="1"/>
  <c r="AE180" i="1"/>
  <c r="AE178" i="1"/>
  <c r="AE176" i="1"/>
  <c r="AE174" i="1"/>
  <c r="AE172" i="1"/>
  <c r="AE170" i="1"/>
  <c r="AE168" i="1"/>
  <c r="AE165" i="1"/>
  <c r="AE159" i="1"/>
  <c r="AE157" i="1"/>
  <c r="AE153" i="1"/>
  <c r="AE151" i="1"/>
  <c r="AE149" i="1"/>
  <c r="AE147" i="1"/>
  <c r="AE145" i="1"/>
  <c r="AE143" i="1"/>
  <c r="AE141" i="1"/>
  <c r="AE139" i="1"/>
  <c r="AE137" i="1"/>
  <c r="AE135" i="1"/>
  <c r="AE133" i="1"/>
  <c r="AE131" i="1"/>
  <c r="AE129" i="1"/>
  <c r="AE127" i="1"/>
  <c r="AE125" i="1"/>
  <c r="AE123" i="1"/>
  <c r="AE121" i="1"/>
  <c r="AE119" i="1"/>
  <c r="AE117" i="1"/>
  <c r="AE112" i="1"/>
  <c r="AE110" i="1"/>
  <c r="AE104" i="1"/>
  <c r="AE102" i="1"/>
  <c r="AE96" i="1"/>
  <c r="AE94" i="1"/>
  <c r="AE90" i="1"/>
  <c r="AE88" i="1"/>
  <c r="AE86" i="1"/>
  <c r="AE80" i="1"/>
  <c r="AE78" i="1"/>
  <c r="AE72" i="1"/>
  <c r="AE71" i="1"/>
  <c r="AE69" i="1"/>
  <c r="AE55" i="1"/>
  <c r="AE51" i="1"/>
  <c r="AE49" i="1"/>
  <c r="AE43" i="1"/>
  <c r="AE41" i="1"/>
  <c r="AE39" i="1"/>
  <c r="AE36" i="1"/>
  <c r="AE18" i="1"/>
  <c r="AE16" i="1"/>
  <c r="AE28" i="1"/>
  <c r="AE56" i="1"/>
  <c r="AE201" i="1"/>
  <c r="AE8" i="1"/>
  <c r="AE11" i="1"/>
  <c r="AE14" i="1"/>
  <c r="AE224" i="1"/>
  <c r="AE270" i="1"/>
  <c r="AE10" i="1"/>
  <c r="AE9" i="1" s="1"/>
  <c r="AE12" i="1" s="1"/>
  <c r="Z199" i="1"/>
  <c r="Z197" i="1"/>
  <c r="Z195" i="1"/>
  <c r="Z193" i="1"/>
  <c r="Z191" i="1"/>
  <c r="Z189" i="1"/>
  <c r="Z179" i="1"/>
  <c r="Z177" i="1"/>
  <c r="Z175" i="1"/>
  <c r="Z173" i="1"/>
  <c r="Z171" i="1"/>
  <c r="Z169" i="1"/>
  <c r="Z167" i="1"/>
  <c r="Z164" i="1"/>
  <c r="Z50" i="1"/>
  <c r="Z200" i="1"/>
  <c r="Z198" i="1"/>
  <c r="Z196" i="1"/>
  <c r="Z194" i="1"/>
  <c r="Z192" i="1"/>
  <c r="Z190" i="1"/>
  <c r="Z188" i="1"/>
  <c r="Z180" i="1"/>
  <c r="Z178" i="1"/>
  <c r="Z176" i="1"/>
  <c r="Z174" i="1"/>
  <c r="Z172" i="1"/>
  <c r="Z170" i="1"/>
  <c r="Z168" i="1"/>
  <c r="Z165" i="1"/>
  <c r="Z51" i="1"/>
  <c r="Z49" i="1"/>
  <c r="X30" i="1"/>
  <c r="X29" i="1"/>
  <c r="Z29" i="1" s="1"/>
  <c r="X31" i="1"/>
  <c r="Z31" i="1" s="1"/>
  <c r="R34" i="1"/>
  <c r="S34" i="1" s="1"/>
  <c r="J113" i="1"/>
  <c r="H311" i="1"/>
  <c r="H37" i="1" s="1"/>
  <c r="H28" i="1"/>
  <c r="I28" i="1" s="1"/>
  <c r="O242" i="1"/>
  <c r="L279" i="1"/>
  <c r="L31" i="1" s="1"/>
  <c r="O258" i="1"/>
  <c r="Q81" i="1"/>
  <c r="Q28" i="1"/>
  <c r="J311" i="1"/>
  <c r="J37" i="1" s="1"/>
  <c r="O250" i="1"/>
  <c r="O266" i="1"/>
  <c r="O213" i="1"/>
  <c r="N29" i="1"/>
  <c r="O29" i="1" s="1"/>
  <c r="O209" i="1"/>
  <c r="O246" i="1"/>
  <c r="O254" i="1"/>
  <c r="O262" i="1"/>
  <c r="O270" i="1"/>
  <c r="Q16" i="1"/>
  <c r="D30" i="1"/>
  <c r="E30" i="1" s="1"/>
  <c r="E234" i="1"/>
  <c r="O240" i="1"/>
  <c r="O244" i="1"/>
  <c r="O248" i="1"/>
  <c r="O252" i="1"/>
  <c r="O256" i="1"/>
  <c r="O260" i="1"/>
  <c r="O264" i="1"/>
  <c r="O268" i="1"/>
  <c r="O274" i="1"/>
  <c r="L28" i="1"/>
  <c r="M28" i="1" s="1"/>
  <c r="D311" i="1"/>
  <c r="D37" i="1" s="1"/>
  <c r="D20" i="1"/>
  <c r="D22" i="1" s="1"/>
  <c r="K71" i="1"/>
  <c r="K151" i="1"/>
  <c r="K149" i="1"/>
  <c r="K146" i="1"/>
  <c r="K143" i="1"/>
  <c r="K132" i="1"/>
  <c r="K268" i="1"/>
  <c r="K14" i="1"/>
  <c r="K16" i="1"/>
  <c r="K18" i="1"/>
  <c r="K20" i="1"/>
  <c r="K38" i="1"/>
  <c r="K40" i="1"/>
  <c r="K42" i="1"/>
  <c r="K44" i="1"/>
  <c r="K50" i="1"/>
  <c r="K52" i="1"/>
  <c r="K55" i="1"/>
  <c r="K67" i="1"/>
  <c r="K68" i="1"/>
  <c r="K70" i="1"/>
  <c r="K73" i="1"/>
  <c r="K75" i="1"/>
  <c r="K77" i="1"/>
  <c r="K79" i="1"/>
  <c r="K85" i="1"/>
  <c r="K87" i="1"/>
  <c r="K89" i="1"/>
  <c r="K91" i="1"/>
  <c r="K93" i="1"/>
  <c r="K95" i="1"/>
  <c r="K97" i="1"/>
  <c r="K102" i="1"/>
  <c r="K104" i="1"/>
  <c r="K106" i="1"/>
  <c r="K108" i="1"/>
  <c r="K111" i="1"/>
  <c r="K116" i="1"/>
  <c r="K118" i="1"/>
  <c r="K120" i="1"/>
  <c r="K122" i="1"/>
  <c r="K124" i="1"/>
  <c r="K126" i="1"/>
  <c r="K128" i="1"/>
  <c r="K130" i="1"/>
  <c r="K133" i="1"/>
  <c r="K135" i="1"/>
  <c r="K138" i="1"/>
  <c r="K140" i="1"/>
  <c r="K142" i="1"/>
  <c r="K152" i="1"/>
  <c r="K154" i="1"/>
  <c r="K156" i="1"/>
  <c r="K158" i="1"/>
  <c r="K160" i="1"/>
  <c r="K165" i="1"/>
  <c r="K168" i="1"/>
  <c r="K170" i="1"/>
  <c r="K172" i="1"/>
  <c r="K174" i="1"/>
  <c r="K176" i="1"/>
  <c r="K178" i="1"/>
  <c r="K180" i="1"/>
  <c r="K185" i="1"/>
  <c r="K190" i="1"/>
  <c r="K192" i="1"/>
  <c r="K194" i="1"/>
  <c r="K196" i="1"/>
  <c r="K198" i="1"/>
  <c r="K200" i="1"/>
  <c r="K206" i="1"/>
  <c r="K209" i="1"/>
  <c r="K211" i="1"/>
  <c r="K213" i="1"/>
  <c r="K218" i="1"/>
  <c r="K221" i="1"/>
  <c r="K223" i="1"/>
  <c r="K228" i="1"/>
  <c r="K231" i="1"/>
  <c r="K233" i="1"/>
  <c r="K238" i="1"/>
  <c r="K239" i="1"/>
  <c r="K241" i="1"/>
  <c r="K244" i="1"/>
  <c r="K246" i="1"/>
  <c r="K248" i="1"/>
  <c r="K250" i="1"/>
  <c r="K252" i="1"/>
  <c r="K254" i="1"/>
  <c r="K256" i="1"/>
  <c r="K258" i="1"/>
  <c r="K260" i="1"/>
  <c r="K262" i="1"/>
  <c r="K264" i="1"/>
  <c r="K267" i="1"/>
  <c r="K270" i="1"/>
  <c r="K272" i="1"/>
  <c r="K274" i="1"/>
  <c r="K277" i="1"/>
  <c r="K148" i="1"/>
  <c r="K147" i="1"/>
  <c r="K145" i="1"/>
  <c r="K136" i="1"/>
  <c r="K188" i="1"/>
  <c r="K15" i="1"/>
  <c r="K17" i="1"/>
  <c r="K19" i="1"/>
  <c r="K36" i="1"/>
  <c r="K39" i="1"/>
  <c r="K41" i="1"/>
  <c r="K43" i="1"/>
  <c r="K49" i="1"/>
  <c r="K51" i="1"/>
  <c r="K54" i="1"/>
  <c r="K56" i="1"/>
  <c r="K69" i="1"/>
  <c r="K72" i="1"/>
  <c r="K74" i="1"/>
  <c r="K76" i="1"/>
  <c r="K78" i="1"/>
  <c r="K80" i="1"/>
  <c r="K86" i="1"/>
  <c r="K88" i="1"/>
  <c r="K90" i="1"/>
  <c r="K92" i="1"/>
  <c r="K94" i="1"/>
  <c r="K96" i="1"/>
  <c r="K101" i="1"/>
  <c r="K103" i="1"/>
  <c r="K105" i="1"/>
  <c r="K107" i="1"/>
  <c r="K110" i="1"/>
  <c r="K112" i="1"/>
  <c r="K117" i="1"/>
  <c r="K119" i="1"/>
  <c r="K121" i="1"/>
  <c r="K123" i="1"/>
  <c r="K125" i="1"/>
  <c r="K127" i="1"/>
  <c r="K129" i="1"/>
  <c r="K131" i="1"/>
  <c r="K134" i="1"/>
  <c r="K137" i="1"/>
  <c r="K139" i="1"/>
  <c r="K141" i="1"/>
  <c r="K144" i="1"/>
  <c r="K153" i="1"/>
  <c r="K155" i="1"/>
  <c r="K157" i="1"/>
  <c r="K159" i="1"/>
  <c r="K164" i="1"/>
  <c r="K167" i="1"/>
  <c r="K169" i="1"/>
  <c r="K171" i="1"/>
  <c r="K173" i="1"/>
  <c r="K175" i="1"/>
  <c r="K177" i="1"/>
  <c r="K179" i="1"/>
  <c r="K181" i="1"/>
  <c r="K189" i="1"/>
  <c r="K191" i="1"/>
  <c r="K193" i="1"/>
  <c r="K195" i="1"/>
  <c r="K197" i="1"/>
  <c r="K199" i="1"/>
  <c r="K205" i="1"/>
  <c r="K208" i="1"/>
  <c r="K210" i="1"/>
  <c r="K212" i="1"/>
  <c r="K217" i="1"/>
  <c r="K220" i="1"/>
  <c r="K222" i="1"/>
  <c r="K224" i="1"/>
  <c r="K229" i="1"/>
  <c r="K232" i="1"/>
  <c r="K234" i="1"/>
  <c r="K240" i="1"/>
  <c r="K242" i="1"/>
  <c r="K245" i="1"/>
  <c r="K247" i="1"/>
  <c r="K249" i="1"/>
  <c r="K251" i="1"/>
  <c r="K253" i="1"/>
  <c r="K255" i="1"/>
  <c r="K257" i="1"/>
  <c r="K259" i="1"/>
  <c r="K261" i="1"/>
  <c r="K263" i="1"/>
  <c r="K265" i="1"/>
  <c r="K269" i="1"/>
  <c r="K271" i="1"/>
  <c r="K273" i="1"/>
  <c r="K276" i="1"/>
  <c r="K278" i="1"/>
  <c r="M15" i="1"/>
  <c r="M17" i="1"/>
  <c r="M19" i="1"/>
  <c r="M36" i="1"/>
  <c r="M39" i="1"/>
  <c r="M41" i="1"/>
  <c r="M43" i="1"/>
  <c r="M49" i="1"/>
  <c r="M51" i="1"/>
  <c r="M55" i="1"/>
  <c r="M67" i="1"/>
  <c r="M68" i="1"/>
  <c r="M70" i="1"/>
  <c r="M73" i="1"/>
  <c r="M75" i="1"/>
  <c r="M77" i="1"/>
  <c r="M79" i="1"/>
  <c r="M81" i="1"/>
  <c r="M86" i="1"/>
  <c r="M88" i="1"/>
  <c r="M90" i="1"/>
  <c r="M92" i="1"/>
  <c r="M94" i="1"/>
  <c r="M96" i="1"/>
  <c r="M101" i="1"/>
  <c r="M103" i="1"/>
  <c r="M105" i="1"/>
  <c r="M107" i="1"/>
  <c r="M110" i="1"/>
  <c r="M112" i="1"/>
  <c r="M116" i="1"/>
  <c r="M118" i="1"/>
  <c r="M120" i="1"/>
  <c r="M122" i="1"/>
  <c r="M124" i="1"/>
  <c r="M126" i="1"/>
  <c r="M128" i="1"/>
  <c r="M130" i="1"/>
  <c r="M133" i="1"/>
  <c r="M135" i="1"/>
  <c r="M138" i="1"/>
  <c r="M140" i="1"/>
  <c r="M142" i="1"/>
  <c r="M152" i="1"/>
  <c r="M154" i="1"/>
  <c r="M156" i="1"/>
  <c r="M158" i="1"/>
  <c r="M160" i="1"/>
  <c r="M165" i="1"/>
  <c r="M168" i="1"/>
  <c r="M170" i="1"/>
  <c r="M172" i="1"/>
  <c r="M174" i="1"/>
  <c r="M176" i="1"/>
  <c r="M178" i="1"/>
  <c r="M180" i="1"/>
  <c r="M185" i="1"/>
  <c r="M190" i="1"/>
  <c r="M192" i="1"/>
  <c r="M194" i="1"/>
  <c r="M196" i="1"/>
  <c r="M198" i="1"/>
  <c r="M200" i="1"/>
  <c r="M205" i="1"/>
  <c r="M208" i="1"/>
  <c r="M210" i="1"/>
  <c r="M212" i="1"/>
  <c r="M217" i="1"/>
  <c r="M220" i="1"/>
  <c r="M222" i="1"/>
  <c r="M224" i="1"/>
  <c r="M229" i="1"/>
  <c r="M232" i="1"/>
  <c r="M234" i="1"/>
  <c r="M240" i="1"/>
  <c r="M242" i="1"/>
  <c r="M245" i="1"/>
  <c r="M247" i="1"/>
  <c r="M249" i="1"/>
  <c r="M251" i="1"/>
  <c r="M253" i="1"/>
  <c r="M255" i="1"/>
  <c r="M257" i="1"/>
  <c r="M259" i="1"/>
  <c r="M261" i="1"/>
  <c r="M263" i="1"/>
  <c r="M265" i="1"/>
  <c r="M269" i="1"/>
  <c r="M271" i="1"/>
  <c r="M273" i="1"/>
  <c r="L22" i="1"/>
  <c r="M22" i="1" s="1"/>
  <c r="M14" i="1"/>
  <c r="M16" i="1"/>
  <c r="M18" i="1"/>
  <c r="M20" i="1"/>
  <c r="M38" i="1"/>
  <c r="M40" i="1"/>
  <c r="M42" i="1"/>
  <c r="M44" i="1"/>
  <c r="M50" i="1"/>
  <c r="M54" i="1"/>
  <c r="M56" i="1"/>
  <c r="M69" i="1"/>
  <c r="M72" i="1"/>
  <c r="M74" i="1"/>
  <c r="M76" i="1"/>
  <c r="M78" i="1"/>
  <c r="M80" i="1"/>
  <c r="M85" i="1"/>
  <c r="M87" i="1"/>
  <c r="M89" i="1"/>
  <c r="M91" i="1"/>
  <c r="M93" i="1"/>
  <c r="M95" i="1"/>
  <c r="M97" i="1"/>
  <c r="M102" i="1"/>
  <c r="M104" i="1"/>
  <c r="M106" i="1"/>
  <c r="M108" i="1"/>
  <c r="M111" i="1"/>
  <c r="M113" i="1"/>
  <c r="M117" i="1"/>
  <c r="M119" i="1"/>
  <c r="M121" i="1"/>
  <c r="M123" i="1"/>
  <c r="M125" i="1"/>
  <c r="M127" i="1"/>
  <c r="M129" i="1"/>
  <c r="M131" i="1"/>
  <c r="M134" i="1"/>
  <c r="M137" i="1"/>
  <c r="M139" i="1"/>
  <c r="M141" i="1"/>
  <c r="M144" i="1"/>
  <c r="M153" i="1"/>
  <c r="M155" i="1"/>
  <c r="M157" i="1"/>
  <c r="M159" i="1"/>
  <c r="M164" i="1"/>
  <c r="M167" i="1"/>
  <c r="M169" i="1"/>
  <c r="M171" i="1"/>
  <c r="M173" i="1"/>
  <c r="M175" i="1"/>
  <c r="M177" i="1"/>
  <c r="M179" i="1"/>
  <c r="M181" i="1"/>
  <c r="M189" i="1"/>
  <c r="M191" i="1"/>
  <c r="M193" i="1"/>
  <c r="M195" i="1"/>
  <c r="M197" i="1"/>
  <c r="M199" i="1"/>
  <c r="M201" i="1"/>
  <c r="M206" i="1"/>
  <c r="M209" i="1"/>
  <c r="M211" i="1"/>
  <c r="M213" i="1"/>
  <c r="M218" i="1"/>
  <c r="M221" i="1"/>
  <c r="M223" i="1"/>
  <c r="M228" i="1"/>
  <c r="M231" i="1"/>
  <c r="M233" i="1"/>
  <c r="M238" i="1"/>
  <c r="M239" i="1"/>
  <c r="M241" i="1"/>
  <c r="M244" i="1"/>
  <c r="M246" i="1"/>
  <c r="M248" i="1"/>
  <c r="M250" i="1"/>
  <c r="M252" i="1"/>
  <c r="M254" i="1"/>
  <c r="M256" i="1"/>
  <c r="M258" i="1"/>
  <c r="M260" i="1"/>
  <c r="M262" i="1"/>
  <c r="M264" i="1"/>
  <c r="M267" i="1"/>
  <c r="M29" i="1"/>
  <c r="M27" i="1"/>
  <c r="M25" i="1"/>
  <c r="K30" i="1"/>
  <c r="K29" i="1"/>
  <c r="K25" i="1"/>
  <c r="J22" i="1"/>
  <c r="K22" i="1" s="1"/>
  <c r="M52" i="1"/>
  <c r="M30" i="1"/>
  <c r="K27" i="1"/>
  <c r="D97" i="1"/>
  <c r="P45" i="1"/>
  <c r="Q45" i="1" s="1"/>
  <c r="Q37" i="1"/>
  <c r="J24" i="1"/>
  <c r="K81" i="1"/>
  <c r="E37" i="1"/>
  <c r="E45" i="1" s="1"/>
  <c r="D45" i="1"/>
  <c r="F30" i="1"/>
  <c r="G30" i="1" s="1"/>
  <c r="G234" i="1"/>
  <c r="S222" i="1"/>
  <c r="S217" i="1"/>
  <c r="S270" i="1"/>
  <c r="S251" i="1"/>
  <c r="S211" i="1"/>
  <c r="S191" i="1"/>
  <c r="S169" i="1"/>
  <c r="S141" i="1"/>
  <c r="S123" i="1"/>
  <c r="S97" i="1"/>
  <c r="S78" i="1"/>
  <c r="S51" i="1"/>
  <c r="S15" i="1"/>
  <c r="S243" i="1"/>
  <c r="S271" i="1"/>
  <c r="S252" i="1"/>
  <c r="S212" i="1"/>
  <c r="S192" i="1"/>
  <c r="S170" i="1"/>
  <c r="S225" i="1"/>
  <c r="S229" i="1"/>
  <c r="S231" i="1"/>
  <c r="S260" i="1"/>
  <c r="S242" i="1"/>
  <c r="S199" i="1"/>
  <c r="S177" i="1"/>
  <c r="S157" i="1"/>
  <c r="S131" i="1"/>
  <c r="S108" i="1"/>
  <c r="S89" i="1"/>
  <c r="S69" i="1"/>
  <c r="S39" i="1"/>
  <c r="S227" i="1"/>
  <c r="S188" i="1"/>
  <c r="S261" i="1"/>
  <c r="S244" i="1"/>
  <c r="S200" i="1"/>
  <c r="S178" i="1"/>
  <c r="O81" i="1"/>
  <c r="N24" i="1"/>
  <c r="O234" i="1"/>
  <c r="N30" i="1"/>
  <c r="O30" i="1" s="1"/>
  <c r="W81" i="1"/>
  <c r="Q18" i="1"/>
  <c r="J279" i="1"/>
  <c r="F311" i="1"/>
  <c r="F37" i="1" s="1"/>
  <c r="F279" i="1"/>
  <c r="F28" i="1"/>
  <c r="D279" i="1"/>
  <c r="O18" i="1"/>
  <c r="N26" i="1"/>
  <c r="O26" i="1" s="1"/>
  <c r="O77" i="1"/>
  <c r="O179" i="1"/>
  <c r="O181" i="1"/>
  <c r="O186" i="1"/>
  <c r="O188" i="1"/>
  <c r="O190" i="1"/>
  <c r="O192" i="1"/>
  <c r="O194" i="1"/>
  <c r="O196" i="1"/>
  <c r="O198" i="1"/>
  <c r="O200" i="1"/>
  <c r="O206" i="1"/>
  <c r="O208" i="1"/>
  <c r="O210" i="1"/>
  <c r="O212" i="1"/>
  <c r="O218" i="1"/>
  <c r="O220" i="1"/>
  <c r="O222" i="1"/>
  <c r="O224" i="1"/>
  <c r="O226" i="1"/>
  <c r="O228" i="1"/>
  <c r="O230" i="1"/>
  <c r="O232" i="1"/>
  <c r="O238" i="1"/>
  <c r="O239" i="1"/>
  <c r="O241" i="1"/>
  <c r="O243" i="1"/>
  <c r="O245" i="1"/>
  <c r="O247" i="1"/>
  <c r="O249" i="1"/>
  <c r="O251" i="1"/>
  <c r="O253" i="1"/>
  <c r="O255" i="1"/>
  <c r="O257" i="1"/>
  <c r="O259" i="1"/>
  <c r="O261" i="1"/>
  <c r="O263" i="1"/>
  <c r="O265" i="1"/>
  <c r="O267" i="1"/>
  <c r="O269" i="1"/>
  <c r="O272" i="1"/>
  <c r="O278" i="1"/>
  <c r="N311" i="1"/>
  <c r="N37" i="1" s="1"/>
  <c r="P20" i="1"/>
  <c r="P160" i="1"/>
  <c r="H279" i="1"/>
  <c r="S30" i="1"/>
  <c r="S28" i="1"/>
  <c r="S26" i="1"/>
  <c r="Q10" i="1"/>
  <c r="Q9" i="1" s="1"/>
  <c r="Q12" i="1" s="1"/>
  <c r="W24" i="1"/>
  <c r="V32" i="1"/>
  <c r="S37" i="1"/>
  <c r="R45" i="1"/>
  <c r="M26" i="1"/>
  <c r="J45" i="1"/>
  <c r="K45" i="1" s="1"/>
  <c r="K37" i="1"/>
  <c r="J26" i="1"/>
  <c r="K26" i="1" s="1"/>
  <c r="K113" i="1"/>
  <c r="L45" i="1"/>
  <c r="M45" i="1" s="1"/>
  <c r="M37" i="1"/>
  <c r="J31" i="1"/>
  <c r="K31" i="1" s="1"/>
  <c r="K279" i="1"/>
  <c r="K201" i="1"/>
  <c r="J28" i="1"/>
  <c r="K28" i="1" s="1"/>
  <c r="K24" i="1"/>
  <c r="I15" i="1"/>
  <c r="I17" i="1"/>
  <c r="I19" i="1"/>
  <c r="I36" i="1"/>
  <c r="I39" i="1"/>
  <c r="I41" i="1"/>
  <c r="I43" i="1"/>
  <c r="I49" i="1"/>
  <c r="I51" i="1"/>
  <c r="I54" i="1"/>
  <c r="I56" i="1"/>
  <c r="I69" i="1"/>
  <c r="I72" i="1"/>
  <c r="I74" i="1"/>
  <c r="I76" i="1"/>
  <c r="I78" i="1"/>
  <c r="I80" i="1"/>
  <c r="I85" i="1"/>
  <c r="I87" i="1"/>
  <c r="I89" i="1"/>
  <c r="I91" i="1"/>
  <c r="I93" i="1"/>
  <c r="I95" i="1"/>
  <c r="I97" i="1"/>
  <c r="I102" i="1"/>
  <c r="I104" i="1"/>
  <c r="I106" i="1"/>
  <c r="I108" i="1"/>
  <c r="I111" i="1"/>
  <c r="I113" i="1"/>
  <c r="I117" i="1"/>
  <c r="I119" i="1"/>
  <c r="I121" i="1"/>
  <c r="I123" i="1"/>
  <c r="I125" i="1"/>
  <c r="I127" i="1"/>
  <c r="I129" i="1"/>
  <c r="I131" i="1"/>
  <c r="I134" i="1"/>
  <c r="I137" i="1"/>
  <c r="I139" i="1"/>
  <c r="I141" i="1"/>
  <c r="I144" i="1"/>
  <c r="I153" i="1"/>
  <c r="I155" i="1"/>
  <c r="I157" i="1"/>
  <c r="I159" i="1"/>
  <c r="I164" i="1"/>
  <c r="I167" i="1"/>
  <c r="I169" i="1"/>
  <c r="I171" i="1"/>
  <c r="I173" i="1"/>
  <c r="I175" i="1"/>
  <c r="I177" i="1"/>
  <c r="I179" i="1"/>
  <c r="I181" i="1"/>
  <c r="I189" i="1"/>
  <c r="I191" i="1"/>
  <c r="I193" i="1"/>
  <c r="I195" i="1"/>
  <c r="I197" i="1"/>
  <c r="I199" i="1"/>
  <c r="I201" i="1"/>
  <c r="I206" i="1"/>
  <c r="I209" i="1"/>
  <c r="I211" i="1"/>
  <c r="I213" i="1"/>
  <c r="I218" i="1"/>
  <c r="I223" i="1"/>
  <c r="I228" i="1"/>
  <c r="I231" i="1"/>
  <c r="I233" i="1"/>
  <c r="I240" i="1"/>
  <c r="I242" i="1"/>
  <c r="I245" i="1"/>
  <c r="I247" i="1"/>
  <c r="I249" i="1"/>
  <c r="I251" i="1"/>
  <c r="I253" i="1"/>
  <c r="I255" i="1"/>
  <c r="I257" i="1"/>
  <c r="I259" i="1"/>
  <c r="I261" i="1"/>
  <c r="H22" i="1"/>
  <c r="I14" i="1"/>
  <c r="I16" i="1"/>
  <c r="I18" i="1"/>
  <c r="I20" i="1"/>
  <c r="I38" i="1"/>
  <c r="I40" i="1"/>
  <c r="I42" i="1"/>
  <c r="I44" i="1"/>
  <c r="I50" i="1"/>
  <c r="I52" i="1"/>
  <c r="I55" i="1"/>
  <c r="I67" i="1"/>
  <c r="I68" i="1"/>
  <c r="I70" i="1"/>
  <c r="I73" i="1"/>
  <c r="I75" i="1"/>
  <c r="I77" i="1"/>
  <c r="I79" i="1"/>
  <c r="I81" i="1"/>
  <c r="I86" i="1"/>
  <c r="I88" i="1"/>
  <c r="I90" i="1"/>
  <c r="I92" i="1"/>
  <c r="I94" i="1"/>
  <c r="I96" i="1"/>
  <c r="I101" i="1"/>
  <c r="I103" i="1"/>
  <c r="I105" i="1"/>
  <c r="I107" i="1"/>
  <c r="I110" i="1"/>
  <c r="I112" i="1"/>
  <c r="I116" i="1"/>
  <c r="I118" i="1"/>
  <c r="I120" i="1"/>
  <c r="I122" i="1"/>
  <c r="I124" i="1"/>
  <c r="I126" i="1"/>
  <c r="I128" i="1"/>
  <c r="I130" i="1"/>
  <c r="I133" i="1"/>
  <c r="I135" i="1"/>
  <c r="I138" i="1"/>
  <c r="I140" i="1"/>
  <c r="I142" i="1"/>
  <c r="I152" i="1"/>
  <c r="I154" i="1"/>
  <c r="I156" i="1"/>
  <c r="I158" i="1"/>
  <c r="I160" i="1"/>
  <c r="I165" i="1"/>
  <c r="I168" i="1"/>
  <c r="I170" i="1"/>
  <c r="I172" i="1"/>
  <c r="I174" i="1"/>
  <c r="I176" i="1"/>
  <c r="I178" i="1"/>
  <c r="I180" i="1"/>
  <c r="I185" i="1"/>
  <c r="I190" i="1"/>
  <c r="I192" i="1"/>
  <c r="I194" i="1"/>
  <c r="I196" i="1"/>
  <c r="I198" i="1"/>
  <c r="I200" i="1"/>
  <c r="I205" i="1"/>
  <c r="I208" i="1"/>
  <c r="I210" i="1"/>
  <c r="I212" i="1"/>
  <c r="I217" i="1"/>
  <c r="I220" i="1"/>
  <c r="I224" i="1"/>
  <c r="I229" i="1"/>
  <c r="I232" i="1"/>
  <c r="I238" i="1"/>
  <c r="I239" i="1"/>
  <c r="I241" i="1"/>
  <c r="I244" i="1"/>
  <c r="I246" i="1"/>
  <c r="I248" i="1"/>
  <c r="I250" i="1"/>
  <c r="I252" i="1"/>
  <c r="I254" i="1"/>
  <c r="I256" i="1"/>
  <c r="I258" i="1"/>
  <c r="I260" i="1"/>
  <c r="I262" i="1"/>
  <c r="G252" i="1"/>
  <c r="G254" i="1"/>
  <c r="G256" i="1"/>
  <c r="G258" i="1"/>
  <c r="G260" i="1"/>
  <c r="G262" i="1"/>
  <c r="G264" i="1"/>
  <c r="G267" i="1"/>
  <c r="G270" i="1"/>
  <c r="G272" i="1"/>
  <c r="G274" i="1"/>
  <c r="G277" i="1"/>
  <c r="G253" i="1"/>
  <c r="G255" i="1"/>
  <c r="G257" i="1"/>
  <c r="G259" i="1"/>
  <c r="G261" i="1"/>
  <c r="G263" i="1"/>
  <c r="G265" i="1"/>
  <c r="G269" i="1"/>
  <c r="G273" i="1"/>
  <c r="O276" i="1"/>
  <c r="G150" i="1" l="1"/>
  <c r="G146" i="1"/>
  <c r="G132" i="1"/>
  <c r="G14" i="1"/>
  <c r="G18" i="1"/>
  <c r="G39" i="1"/>
  <c r="G43" i="1"/>
  <c r="G51" i="1"/>
  <c r="G56" i="1"/>
  <c r="G72" i="1"/>
  <c r="G76" i="1"/>
  <c r="G80" i="1"/>
  <c r="G87" i="1"/>
  <c r="G91" i="1"/>
  <c r="G95" i="1"/>
  <c r="G104" i="1"/>
  <c r="G116" i="1"/>
  <c r="G120" i="1"/>
  <c r="G124" i="1"/>
  <c r="G128" i="1"/>
  <c r="G133" i="1"/>
  <c r="G138" i="1"/>
  <c r="G142" i="1"/>
  <c r="G154" i="1"/>
  <c r="G158" i="1"/>
  <c r="G165" i="1"/>
  <c r="G170" i="1"/>
  <c r="G174" i="1"/>
  <c r="G178" i="1"/>
  <c r="G185" i="1"/>
  <c r="G192" i="1"/>
  <c r="G196" i="1"/>
  <c r="G201" i="1"/>
  <c r="G209" i="1"/>
  <c r="G223" i="1"/>
  <c r="G231" i="1"/>
  <c r="G240" i="1"/>
  <c r="G245" i="1"/>
  <c r="G249" i="1"/>
  <c r="G71" i="1"/>
  <c r="G147" i="1"/>
  <c r="G136" i="1"/>
  <c r="G15" i="1"/>
  <c r="G19" i="1"/>
  <c r="G40" i="1"/>
  <c r="G44" i="1"/>
  <c r="G67" i="1"/>
  <c r="G70" i="1"/>
  <c r="G75" i="1"/>
  <c r="G79" i="1"/>
  <c r="G86" i="1"/>
  <c r="G90" i="1"/>
  <c r="G94" i="1"/>
  <c r="G101" i="1"/>
  <c r="G105" i="1"/>
  <c r="G110" i="1"/>
  <c r="G117" i="1"/>
  <c r="G149" i="1"/>
  <c r="G268" i="1"/>
  <c r="G36" i="1"/>
  <c r="G49" i="1"/>
  <c r="G69" i="1"/>
  <c r="G78" i="1"/>
  <c r="G89" i="1"/>
  <c r="G102" i="1"/>
  <c r="G111" i="1"/>
  <c r="G122" i="1"/>
  <c r="G130" i="1"/>
  <c r="G140" i="1"/>
  <c r="G156" i="1"/>
  <c r="G168" i="1"/>
  <c r="G176" i="1"/>
  <c r="G190" i="1"/>
  <c r="G199" i="1"/>
  <c r="G211" i="1"/>
  <c r="G228" i="1"/>
  <c r="G242" i="1"/>
  <c r="G251" i="1"/>
  <c r="G145" i="1"/>
  <c r="G17" i="1"/>
  <c r="G42" i="1"/>
  <c r="G55" i="1"/>
  <c r="G73" i="1"/>
  <c r="G81" i="1"/>
  <c r="G92" i="1"/>
  <c r="G103" i="1"/>
  <c r="G112" i="1"/>
  <c r="G121" i="1"/>
  <c r="G125" i="1"/>
  <c r="G129" i="1"/>
  <c r="G134" i="1"/>
  <c r="G139" i="1"/>
  <c r="G144" i="1"/>
  <c r="G155" i="1"/>
  <c r="G159" i="1"/>
  <c r="G167" i="1"/>
  <c r="G171" i="1"/>
  <c r="G175" i="1"/>
  <c r="G179" i="1"/>
  <c r="G189" i="1"/>
  <c r="G193" i="1"/>
  <c r="G198" i="1"/>
  <c r="G205" i="1"/>
  <c r="G210" i="1"/>
  <c r="G217" i="1"/>
  <c r="G224" i="1"/>
  <c r="G232" i="1"/>
  <c r="G239" i="1"/>
  <c r="G244" i="1"/>
  <c r="G248" i="1"/>
  <c r="G25" i="1"/>
  <c r="G151" i="1"/>
  <c r="G143" i="1"/>
  <c r="G16" i="1"/>
  <c r="G41" i="1"/>
  <c r="G54" i="1"/>
  <c r="G74" i="1"/>
  <c r="G85" i="1"/>
  <c r="G93" i="1"/>
  <c r="G106" i="1"/>
  <c r="G118" i="1"/>
  <c r="G126" i="1"/>
  <c r="G135" i="1"/>
  <c r="G152" i="1"/>
  <c r="G160" i="1"/>
  <c r="G172" i="1"/>
  <c r="G180" i="1"/>
  <c r="G194" i="1"/>
  <c r="G206" i="1"/>
  <c r="G218" i="1"/>
  <c r="G233" i="1"/>
  <c r="G247" i="1"/>
  <c r="G148" i="1"/>
  <c r="G188" i="1"/>
  <c r="G38" i="1"/>
  <c r="G50" i="1"/>
  <c r="G68" i="1"/>
  <c r="G77" i="1"/>
  <c r="G88" i="1"/>
  <c r="G96" i="1"/>
  <c r="G107" i="1"/>
  <c r="G119" i="1"/>
  <c r="G123" i="1"/>
  <c r="G127" i="1"/>
  <c r="G131" i="1"/>
  <c r="G137" i="1"/>
  <c r="G141" i="1"/>
  <c r="G153" i="1"/>
  <c r="G157" i="1"/>
  <c r="G164" i="1"/>
  <c r="G169" i="1"/>
  <c r="G173" i="1"/>
  <c r="G177" i="1"/>
  <c r="G181" i="1"/>
  <c r="G191" i="1"/>
  <c r="G195" i="1"/>
  <c r="G200" i="1"/>
  <c r="G208" i="1"/>
  <c r="G212" i="1"/>
  <c r="G220" i="1"/>
  <c r="G229" i="1"/>
  <c r="G238" i="1"/>
  <c r="G241" i="1"/>
  <c r="G246" i="1"/>
  <c r="G250" i="1"/>
  <c r="G97" i="1"/>
  <c r="AA309" i="1"/>
  <c r="AC300" i="1"/>
  <c r="AF301" i="1"/>
  <c r="AC301" i="1"/>
  <c r="AF302" i="1"/>
  <c r="AC302" i="1"/>
  <c r="AF303" i="1"/>
  <c r="AC303" i="1"/>
  <c r="AC262" i="1"/>
  <c r="AB262" i="1"/>
  <c r="AC254" i="1"/>
  <c r="AB254" i="1"/>
  <c r="AC248" i="1"/>
  <c r="AB248" i="1"/>
  <c r="AA279" i="1"/>
  <c r="AB244" i="1"/>
  <c r="AC244" i="1"/>
  <c r="AC263" i="1"/>
  <c r="AB263" i="1"/>
  <c r="AC259" i="1"/>
  <c r="AB259" i="1"/>
  <c r="AC249" i="1"/>
  <c r="AB249" i="1"/>
  <c r="AC245" i="1"/>
  <c r="AB245" i="1"/>
  <c r="AC264" i="1"/>
  <c r="AB264" i="1"/>
  <c r="AB260" i="1"/>
  <c r="AC260" i="1"/>
  <c r="AB250" i="1"/>
  <c r="AC250" i="1"/>
  <c r="AC246" i="1"/>
  <c r="AB246" i="1"/>
  <c r="AC265" i="1"/>
  <c r="AB265" i="1"/>
  <c r="AC261" i="1"/>
  <c r="AB261" i="1"/>
  <c r="AC253" i="1"/>
  <c r="AB253" i="1"/>
  <c r="AC247" i="1"/>
  <c r="AB247" i="1"/>
  <c r="AC227" i="1"/>
  <c r="AB227" i="1"/>
  <c r="AD223" i="1"/>
  <c r="AC223" i="1"/>
  <c r="AB223" i="1"/>
  <c r="AB230" i="1"/>
  <c r="AC230" i="1"/>
  <c r="AC226" i="1"/>
  <c r="AB226" i="1"/>
  <c r="AB218" i="1"/>
  <c r="AC218" i="1"/>
  <c r="AC229" i="1"/>
  <c r="AB229" i="1"/>
  <c r="AC225" i="1"/>
  <c r="AB225" i="1"/>
  <c r="AC219" i="1"/>
  <c r="AB219" i="1"/>
  <c r="AC228" i="1"/>
  <c r="AB228" i="1"/>
  <c r="AC220" i="1"/>
  <c r="AB220" i="1"/>
  <c r="AC208" i="1"/>
  <c r="AB208" i="1"/>
  <c r="AC207" i="1"/>
  <c r="AB207" i="1"/>
  <c r="Y29" i="1"/>
  <c r="AC206" i="1"/>
  <c r="AA213" i="1"/>
  <c r="AB206" i="1"/>
  <c r="AC155" i="1"/>
  <c r="AB155" i="1"/>
  <c r="AC154" i="1"/>
  <c r="AB154" i="1"/>
  <c r="AF129" i="1"/>
  <c r="AD160" i="1"/>
  <c r="AC152" i="1"/>
  <c r="AB152" i="1"/>
  <c r="AA160" i="1"/>
  <c r="AC108" i="1"/>
  <c r="AB108" i="1"/>
  <c r="AA113" i="1"/>
  <c r="AB106" i="1"/>
  <c r="AC106" i="1"/>
  <c r="Y26" i="1"/>
  <c r="AC93" i="1"/>
  <c r="AB93" i="1"/>
  <c r="AC92" i="1"/>
  <c r="AB92" i="1"/>
  <c r="AC91" i="1"/>
  <c r="AA97" i="1"/>
  <c r="AB91" i="1"/>
  <c r="AA81" i="1"/>
  <c r="AC73" i="1"/>
  <c r="AB73" i="1"/>
  <c r="AC74" i="1"/>
  <c r="AB74" i="1"/>
  <c r="Y24" i="1"/>
  <c r="AC75" i="1"/>
  <c r="AB75" i="1"/>
  <c r="AC76" i="1"/>
  <c r="AB76" i="1"/>
  <c r="Y31" i="1"/>
  <c r="T34" i="1"/>
  <c r="U22" i="1"/>
  <c r="AF16" i="1"/>
  <c r="AA201" i="1"/>
  <c r="AF185" i="1"/>
  <c r="AB185" i="1"/>
  <c r="AA20" i="1"/>
  <c r="AF20" i="1" s="1"/>
  <c r="AF18" i="1"/>
  <c r="AC185" i="1"/>
  <c r="Z16" i="1"/>
  <c r="Y16" i="1"/>
  <c r="AC16" i="1"/>
  <c r="Z18" i="1"/>
  <c r="Y18" i="1"/>
  <c r="AC18" i="1"/>
  <c r="AC221" i="1"/>
  <c r="AB221" i="1"/>
  <c r="Z30" i="1"/>
  <c r="Y30" i="1"/>
  <c r="Z234" i="1"/>
  <c r="Y234" i="1"/>
  <c r="AC222" i="1"/>
  <c r="AB222" i="1"/>
  <c r="AA234" i="1"/>
  <c r="Q15" i="1"/>
  <c r="Q24" i="1"/>
  <c r="Q117" i="1"/>
  <c r="Q228" i="1"/>
  <c r="Q29" i="1"/>
  <c r="Q278" i="1"/>
  <c r="Q274" i="1"/>
  <c r="Q270" i="1"/>
  <c r="Q266" i="1"/>
  <c r="Q262" i="1"/>
  <c r="Q257" i="1"/>
  <c r="Q253" i="1"/>
  <c r="Q249" i="1"/>
  <c r="Q245" i="1"/>
  <c r="Q241" i="1"/>
  <c r="Q238" i="1"/>
  <c r="Q230" i="1"/>
  <c r="Q225" i="1"/>
  <c r="Q221" i="1"/>
  <c r="Q217" i="1"/>
  <c r="Q209" i="1"/>
  <c r="Q205" i="1"/>
  <c r="Q197" i="1"/>
  <c r="Q193" i="1"/>
  <c r="Q189" i="1"/>
  <c r="Q185" i="1"/>
  <c r="Q177" i="1"/>
  <c r="Q173" i="1"/>
  <c r="Q169" i="1"/>
  <c r="Q164" i="1"/>
  <c r="Q156" i="1"/>
  <c r="Q152" i="1"/>
  <c r="Q149" i="1"/>
  <c r="Q145" i="1"/>
  <c r="Q141" i="1"/>
  <c r="Q136" i="1"/>
  <c r="Q132" i="1"/>
  <c r="Q128" i="1"/>
  <c r="Q124" i="1"/>
  <c r="Q120" i="1"/>
  <c r="Q112" i="1"/>
  <c r="Q107" i="1"/>
  <c r="Q103" i="1"/>
  <c r="Q95" i="1"/>
  <c r="Q91" i="1"/>
  <c r="Q87" i="1"/>
  <c r="Q79" i="1"/>
  <c r="Q76" i="1"/>
  <c r="Q72" i="1"/>
  <c r="Q69" i="1"/>
  <c r="Q56" i="1"/>
  <c r="Q52" i="1"/>
  <c r="Q49" i="1"/>
  <c r="Q42" i="1"/>
  <c r="Q39" i="1"/>
  <c r="Q277" i="1"/>
  <c r="Q273" i="1"/>
  <c r="Q269" i="1"/>
  <c r="Q265" i="1"/>
  <c r="Q261" i="1"/>
  <c r="Q256" i="1"/>
  <c r="Q252" i="1"/>
  <c r="Q248" i="1"/>
  <c r="Q244" i="1"/>
  <c r="Q240" i="1"/>
  <c r="Q233" i="1"/>
  <c r="Q229" i="1"/>
  <c r="Q224" i="1"/>
  <c r="Q220" i="1"/>
  <c r="Q213" i="1"/>
  <c r="Q210" i="1"/>
  <c r="Q206" i="1"/>
  <c r="Q198" i="1"/>
  <c r="Q194" i="1"/>
  <c r="Q190" i="1"/>
  <c r="Q186" i="1"/>
  <c r="Q178" i="1"/>
  <c r="Q174" i="1"/>
  <c r="Q170" i="1"/>
  <c r="Q165" i="1"/>
  <c r="Q157" i="1"/>
  <c r="Q153" i="1"/>
  <c r="Q148" i="1"/>
  <c r="Q144" i="1"/>
  <c r="Q140" i="1"/>
  <c r="Q135" i="1"/>
  <c r="Q131" i="1"/>
  <c r="Q127" i="1"/>
  <c r="Q123" i="1"/>
  <c r="Q119" i="1"/>
  <c r="Q111" i="1"/>
  <c r="Q106" i="1"/>
  <c r="Q102" i="1"/>
  <c r="Q94" i="1"/>
  <c r="Q90" i="1"/>
  <c r="Q86" i="1"/>
  <c r="Q78" i="1"/>
  <c r="Q73" i="1"/>
  <c r="Q70" i="1"/>
  <c r="Q67" i="1"/>
  <c r="Q50" i="1"/>
  <c r="Q40" i="1"/>
  <c r="Q97" i="1"/>
  <c r="Q17" i="1"/>
  <c r="Q181" i="1"/>
  <c r="Q14" i="1"/>
  <c r="Q201" i="1"/>
  <c r="Q19" i="1"/>
  <c r="Q113" i="1"/>
  <c r="Q276" i="1"/>
  <c r="Q272" i="1"/>
  <c r="Q268" i="1"/>
  <c r="Q264" i="1"/>
  <c r="Q259" i="1"/>
  <c r="Q255" i="1"/>
  <c r="Q251" i="1"/>
  <c r="Q247" i="1"/>
  <c r="Q243" i="1"/>
  <c r="Q239" i="1"/>
  <c r="Q232" i="1"/>
  <c r="Q227" i="1"/>
  <c r="Q223" i="1"/>
  <c r="Q219" i="1"/>
  <c r="Q211" i="1"/>
  <c r="Q207" i="1"/>
  <c r="Q199" i="1"/>
  <c r="Q195" i="1"/>
  <c r="Q191" i="1"/>
  <c r="Q187" i="1"/>
  <c r="Q179" i="1"/>
  <c r="Q175" i="1"/>
  <c r="Q171" i="1"/>
  <c r="Q167" i="1"/>
  <c r="Q158" i="1"/>
  <c r="Q154" i="1"/>
  <c r="Q150" i="1"/>
  <c r="Q147" i="1"/>
  <c r="Q143" i="1"/>
  <c r="Q139" i="1"/>
  <c r="Q134" i="1"/>
  <c r="Q130" i="1"/>
  <c r="Q126" i="1"/>
  <c r="Q122" i="1"/>
  <c r="Q118" i="1"/>
  <c r="Q110" i="1"/>
  <c r="Q105" i="1"/>
  <c r="Q101" i="1"/>
  <c r="Q93" i="1"/>
  <c r="Q89" i="1"/>
  <c r="Q85" i="1"/>
  <c r="Q77" i="1"/>
  <c r="Q74" i="1"/>
  <c r="Q71" i="1"/>
  <c r="Q55" i="1"/>
  <c r="Q51" i="1"/>
  <c r="Q43" i="1"/>
  <c r="Q41" i="1"/>
  <c r="Q36" i="1"/>
  <c r="Q275" i="1"/>
  <c r="Q271" i="1"/>
  <c r="Q267" i="1"/>
  <c r="Q263" i="1"/>
  <c r="Q258" i="1"/>
  <c r="Q254" i="1"/>
  <c r="Q250" i="1"/>
  <c r="Q246" i="1"/>
  <c r="Q242" i="1"/>
  <c r="Q231" i="1"/>
  <c r="Q226" i="1"/>
  <c r="Q222" i="1"/>
  <c r="Q218" i="1"/>
  <c r="Q212" i="1"/>
  <c r="Q208" i="1"/>
  <c r="Q200" i="1"/>
  <c r="Q196" i="1"/>
  <c r="Q192" i="1"/>
  <c r="Q188" i="1"/>
  <c r="Q180" i="1"/>
  <c r="Q176" i="1"/>
  <c r="Q172" i="1"/>
  <c r="Q168" i="1"/>
  <c r="Q159" i="1"/>
  <c r="Q155" i="1"/>
  <c r="Q151" i="1"/>
  <c r="Q146" i="1"/>
  <c r="Q142" i="1"/>
  <c r="Q137" i="1"/>
  <c r="Q133" i="1"/>
  <c r="Q129" i="1"/>
  <c r="Q125" i="1"/>
  <c r="Q121" i="1"/>
  <c r="Q116" i="1"/>
  <c r="Q109" i="1"/>
  <c r="Q104" i="1"/>
  <c r="Q96" i="1"/>
  <c r="Q92" i="1"/>
  <c r="Q88" i="1"/>
  <c r="Q80" i="1"/>
  <c r="Q75" i="1"/>
  <c r="Q68" i="1"/>
  <c r="Q54" i="1"/>
  <c r="Q44" i="1"/>
  <c r="Q38" i="1"/>
  <c r="Q25" i="1"/>
  <c r="Q234" i="1"/>
  <c r="X20" i="1"/>
  <c r="O277" i="1"/>
  <c r="O233" i="1"/>
  <c r="O207" i="1"/>
  <c r="O197" i="1"/>
  <c r="O189" i="1"/>
  <c r="O177" i="1"/>
  <c r="O173" i="1"/>
  <c r="O171" i="1"/>
  <c r="O169" i="1"/>
  <c r="O167" i="1"/>
  <c r="O164" i="1"/>
  <c r="O158" i="1"/>
  <c r="O156" i="1"/>
  <c r="O154" i="1"/>
  <c r="O152" i="1"/>
  <c r="O149" i="1"/>
  <c r="O147" i="1"/>
  <c r="O145" i="1"/>
  <c r="O143" i="1"/>
  <c r="O141" i="1"/>
  <c r="O139" i="1"/>
  <c r="O137" i="1"/>
  <c r="O135" i="1"/>
  <c r="O133" i="1"/>
  <c r="O131" i="1"/>
  <c r="O129" i="1"/>
  <c r="O127" i="1"/>
  <c r="O125" i="1"/>
  <c r="O123" i="1"/>
  <c r="O121" i="1"/>
  <c r="O119" i="1"/>
  <c r="O117" i="1"/>
  <c r="O111" i="1"/>
  <c r="O109" i="1"/>
  <c r="O107" i="1"/>
  <c r="O105" i="1"/>
  <c r="O103" i="1"/>
  <c r="O101" i="1"/>
  <c r="O96" i="1"/>
  <c r="O94" i="1"/>
  <c r="O92" i="1"/>
  <c r="O90" i="1"/>
  <c r="O88" i="1"/>
  <c r="O86" i="1"/>
  <c r="O79" i="1"/>
  <c r="O76" i="1"/>
  <c r="O74" i="1"/>
  <c r="O72" i="1"/>
  <c r="O71" i="1"/>
  <c r="O69" i="1"/>
  <c r="O55" i="1"/>
  <c r="O52" i="1"/>
  <c r="O50" i="1"/>
  <c r="O44" i="1"/>
  <c r="O42" i="1"/>
  <c r="O40" i="1"/>
  <c r="O38" i="1"/>
  <c r="O19" i="1"/>
  <c r="O273" i="1"/>
  <c r="N22" i="1"/>
  <c r="O22" i="1" s="1"/>
  <c r="O193" i="1"/>
  <c r="O185" i="1"/>
  <c r="O180" i="1"/>
  <c r="O175" i="1"/>
  <c r="O172" i="1"/>
  <c r="O170" i="1"/>
  <c r="O168" i="1"/>
  <c r="O165" i="1"/>
  <c r="O159" i="1"/>
  <c r="O157" i="1"/>
  <c r="O155" i="1"/>
  <c r="O153" i="1"/>
  <c r="O151" i="1"/>
  <c r="O148" i="1"/>
  <c r="O146" i="1"/>
  <c r="O144" i="1"/>
  <c r="O142" i="1"/>
  <c r="O140" i="1"/>
  <c r="O138" i="1"/>
  <c r="O136" i="1"/>
  <c r="O134" i="1"/>
  <c r="O132" i="1"/>
  <c r="O130" i="1"/>
  <c r="O128" i="1"/>
  <c r="O126" i="1"/>
  <c r="O124" i="1"/>
  <c r="O122" i="1"/>
  <c r="O120" i="1"/>
  <c r="O118" i="1"/>
  <c r="O116" i="1"/>
  <c r="O112" i="1"/>
  <c r="O110" i="1"/>
  <c r="O108" i="1"/>
  <c r="O106" i="1"/>
  <c r="O104" i="1"/>
  <c r="O102" i="1"/>
  <c r="O95" i="1"/>
  <c r="O93" i="1"/>
  <c r="O91" i="1"/>
  <c r="O89" i="1"/>
  <c r="O87" i="1"/>
  <c r="O85" i="1"/>
  <c r="O80" i="1"/>
  <c r="O78" i="1"/>
  <c r="O75" i="1"/>
  <c r="O73" i="1"/>
  <c r="O70" i="1"/>
  <c r="O68" i="1"/>
  <c r="O67" i="1"/>
  <c r="O54" i="1"/>
  <c r="O51" i="1"/>
  <c r="O49" i="1"/>
  <c r="O43" i="1"/>
  <c r="O41" i="1"/>
  <c r="O39" i="1"/>
  <c r="O36" i="1"/>
  <c r="O25" i="1"/>
  <c r="O17" i="1"/>
  <c r="O271" i="1"/>
  <c r="O275" i="1"/>
  <c r="O279" i="1"/>
  <c r="O31" i="1"/>
  <c r="X37" i="1"/>
  <c r="Y37" i="1" s="1"/>
  <c r="Z311" i="1"/>
  <c r="AE20" i="1"/>
  <c r="AD22" i="1"/>
  <c r="AE22" i="1" s="1"/>
  <c r="AB20" i="1"/>
  <c r="AA22" i="1"/>
  <c r="AB18" i="1"/>
  <c r="J32" i="1"/>
  <c r="J34" i="1" s="1"/>
  <c r="X32" i="1"/>
  <c r="I37" i="1"/>
  <c r="H45" i="1"/>
  <c r="I45" i="1" s="1"/>
  <c r="M279" i="1"/>
  <c r="L32" i="1"/>
  <c r="M32" i="1" s="1"/>
  <c r="M31" i="1"/>
  <c r="D25" i="1"/>
  <c r="E25" i="1" s="1"/>
  <c r="E97" i="1"/>
  <c r="H31" i="1"/>
  <c r="I279" i="1"/>
  <c r="Q20" i="1"/>
  <c r="P22" i="1"/>
  <c r="D31" i="1"/>
  <c r="E279" i="1"/>
  <c r="F31" i="1"/>
  <c r="G31" i="1" s="1"/>
  <c r="G279" i="1"/>
  <c r="Q160" i="1"/>
  <c r="P27" i="1"/>
  <c r="O37" i="1"/>
  <c r="N45" i="1"/>
  <c r="O45" i="1" s="1"/>
  <c r="G28" i="1"/>
  <c r="F45" i="1"/>
  <c r="G37" i="1"/>
  <c r="G45" i="1" s="1"/>
  <c r="O24" i="1"/>
  <c r="N32" i="1"/>
  <c r="I22" i="1"/>
  <c r="S45" i="1"/>
  <c r="R47" i="1"/>
  <c r="W32" i="1"/>
  <c r="V34" i="1"/>
  <c r="G20" i="1" l="1"/>
  <c r="G22" i="1" s="1"/>
  <c r="F32" i="1"/>
  <c r="F34" i="1" s="1"/>
  <c r="L34" i="1"/>
  <c r="K32" i="1"/>
  <c r="AA311" i="1"/>
  <c r="AC309" i="1"/>
  <c r="AF300" i="1"/>
  <c r="AD309" i="1"/>
  <c r="AD311" i="1" s="1"/>
  <c r="AF247" i="1"/>
  <c r="AE247" i="1"/>
  <c r="AF261" i="1"/>
  <c r="AE261" i="1"/>
  <c r="AF246" i="1"/>
  <c r="AE246" i="1"/>
  <c r="AF250" i="1"/>
  <c r="AE250" i="1"/>
  <c r="AF245" i="1"/>
  <c r="AE245" i="1"/>
  <c r="AF259" i="1"/>
  <c r="AE259" i="1"/>
  <c r="AF248" i="1"/>
  <c r="AE248" i="1"/>
  <c r="AF262" i="1"/>
  <c r="AE262" i="1"/>
  <c r="AF253" i="1"/>
  <c r="AE253" i="1"/>
  <c r="AF265" i="1"/>
  <c r="AE265" i="1"/>
  <c r="AF260" i="1"/>
  <c r="AE260" i="1"/>
  <c r="AF264" i="1"/>
  <c r="AE264" i="1"/>
  <c r="AF249" i="1"/>
  <c r="AE249" i="1"/>
  <c r="AF263" i="1"/>
  <c r="AE263" i="1"/>
  <c r="AF244" i="1"/>
  <c r="AD279" i="1"/>
  <c r="AE244" i="1"/>
  <c r="AA31" i="1"/>
  <c r="AC279" i="1"/>
  <c r="AB279" i="1"/>
  <c r="AF254" i="1"/>
  <c r="AE254" i="1"/>
  <c r="AF228" i="1"/>
  <c r="AE228" i="1"/>
  <c r="AF225" i="1"/>
  <c r="AE225" i="1"/>
  <c r="AF229" i="1"/>
  <c r="AE229" i="1"/>
  <c r="AF230" i="1"/>
  <c r="AE230" i="1"/>
  <c r="AF220" i="1"/>
  <c r="AE220" i="1"/>
  <c r="AF219" i="1"/>
  <c r="AE219" i="1"/>
  <c r="AF218" i="1"/>
  <c r="AE218" i="1"/>
  <c r="AF226" i="1"/>
  <c r="AE226" i="1"/>
  <c r="AF223" i="1"/>
  <c r="AE223" i="1"/>
  <c r="AF227" i="1"/>
  <c r="AE227" i="1"/>
  <c r="AA29" i="1"/>
  <c r="AB213" i="1"/>
  <c r="AC213" i="1"/>
  <c r="AF208" i="1"/>
  <c r="AE208" i="1"/>
  <c r="AF206" i="1"/>
  <c r="AE206" i="1"/>
  <c r="AD213" i="1"/>
  <c r="AF207" i="1"/>
  <c r="AE207" i="1"/>
  <c r="AF152" i="1"/>
  <c r="AE152" i="1"/>
  <c r="AF155" i="1"/>
  <c r="AE155" i="1"/>
  <c r="AA27" i="1"/>
  <c r="AB160" i="1"/>
  <c r="AC160" i="1"/>
  <c r="AD27" i="1"/>
  <c r="AE160" i="1"/>
  <c r="AF160" i="1"/>
  <c r="AF154" i="1"/>
  <c r="AE154" i="1"/>
  <c r="AF108" i="1"/>
  <c r="AE108" i="1"/>
  <c r="AF106" i="1"/>
  <c r="AD113" i="1"/>
  <c r="AE106" i="1"/>
  <c r="AC113" i="1"/>
  <c r="AA26" i="1"/>
  <c r="AB113" i="1"/>
  <c r="AA25" i="1"/>
  <c r="AB97" i="1"/>
  <c r="AC97" i="1"/>
  <c r="AF91" i="1"/>
  <c r="AD97" i="1"/>
  <c r="AE91" i="1"/>
  <c r="AF93" i="1"/>
  <c r="AE93" i="1"/>
  <c r="AF92" i="1"/>
  <c r="AE92" i="1"/>
  <c r="AF75" i="1"/>
  <c r="AE75" i="1"/>
  <c r="AD81" i="1"/>
  <c r="AF73" i="1"/>
  <c r="AE73" i="1"/>
  <c r="AF76" i="1"/>
  <c r="AE76" i="1"/>
  <c r="AF74" i="1"/>
  <c r="AE74" i="1"/>
  <c r="AA24" i="1"/>
  <c r="AB81" i="1"/>
  <c r="AC81" i="1"/>
  <c r="T47" i="1"/>
  <c r="U34" i="1"/>
  <c r="AB22" i="1"/>
  <c r="AF22" i="1"/>
  <c r="AB201" i="1"/>
  <c r="AC201" i="1"/>
  <c r="AF201" i="1"/>
  <c r="AA28" i="1"/>
  <c r="Y20" i="1"/>
  <c r="AC20" i="1"/>
  <c r="AF221" i="1"/>
  <c r="AE221" i="1"/>
  <c r="Z32" i="1"/>
  <c r="Y32" i="1"/>
  <c r="AF222" i="1"/>
  <c r="AD234" i="1"/>
  <c r="AE222" i="1"/>
  <c r="AA30" i="1"/>
  <c r="AB234" i="1"/>
  <c r="AC234" i="1"/>
  <c r="Z20" i="1"/>
  <c r="X22" i="1"/>
  <c r="X34" i="1" s="1"/>
  <c r="Y34" i="1" s="1"/>
  <c r="Z37" i="1"/>
  <c r="X45" i="1"/>
  <c r="E31" i="1"/>
  <c r="E32" i="1" s="1"/>
  <c r="E34" i="1" s="1"/>
  <c r="E47" i="1" s="1"/>
  <c r="D32" i="1"/>
  <c r="D34" i="1" s="1"/>
  <c r="D47" i="1" s="1"/>
  <c r="D58" i="1" s="1"/>
  <c r="E58" i="1" s="1"/>
  <c r="H32" i="1"/>
  <c r="I31" i="1"/>
  <c r="G32" i="1"/>
  <c r="G34" i="1" s="1"/>
  <c r="G47" i="1" s="1"/>
  <c r="O32" i="1"/>
  <c r="N34" i="1"/>
  <c r="Q27" i="1"/>
  <c r="P32" i="1"/>
  <c r="Q32" i="1" s="1"/>
  <c r="Q22" i="1"/>
  <c r="F47" i="1"/>
  <c r="F58" i="1" s="1"/>
  <c r="G58" i="1" s="1"/>
  <c r="W34" i="1"/>
  <c r="V47" i="1"/>
  <c r="R58" i="1"/>
  <c r="S47" i="1"/>
  <c r="K34" i="1"/>
  <c r="J47" i="1"/>
  <c r="M34" i="1"/>
  <c r="L47" i="1"/>
  <c r="Z45" i="1" l="1"/>
  <c r="Y45" i="1"/>
  <c r="AD37" i="1"/>
  <c r="AF311" i="1"/>
  <c r="AF309" i="1"/>
  <c r="AA37" i="1"/>
  <c r="AC311" i="1"/>
  <c r="AB31" i="1"/>
  <c r="AC31" i="1"/>
  <c r="AF279" i="1"/>
  <c r="AE279" i="1"/>
  <c r="AD31" i="1"/>
  <c r="AC29" i="1"/>
  <c r="AB29" i="1"/>
  <c r="AF213" i="1"/>
  <c r="AD29" i="1"/>
  <c r="AE213" i="1"/>
  <c r="AC27" i="1"/>
  <c r="AB27" i="1"/>
  <c r="AF27" i="1"/>
  <c r="AE27" i="1"/>
  <c r="AC26" i="1"/>
  <c r="AB26" i="1"/>
  <c r="AF113" i="1"/>
  <c r="AE113" i="1"/>
  <c r="AD26" i="1"/>
  <c r="AD25" i="1"/>
  <c r="AE25" i="1" s="1"/>
  <c r="AF97" i="1"/>
  <c r="AE97" i="1"/>
  <c r="AF25" i="1"/>
  <c r="AC25" i="1"/>
  <c r="AB25" i="1"/>
  <c r="AF81" i="1"/>
  <c r="AD24" i="1"/>
  <c r="AE81" i="1"/>
  <c r="AB24" i="1"/>
  <c r="AC24" i="1"/>
  <c r="T58" i="1"/>
  <c r="U47" i="1"/>
  <c r="AF28" i="1"/>
  <c r="AB28" i="1"/>
  <c r="AC28" i="1"/>
  <c r="Z22" i="1"/>
  <c r="AC22" i="1"/>
  <c r="Y22" i="1"/>
  <c r="AB30" i="1"/>
  <c r="AA32" i="1"/>
  <c r="AC30" i="1"/>
  <c r="AF234" i="1"/>
  <c r="AD30" i="1"/>
  <c r="AE234" i="1"/>
  <c r="X47" i="1"/>
  <c r="Y47" i="1" s="1"/>
  <c r="Z34" i="1"/>
  <c r="P34" i="1"/>
  <c r="Q34" i="1" s="1"/>
  <c r="N47" i="1"/>
  <c r="O34" i="1"/>
  <c r="I32" i="1"/>
  <c r="H34" i="1"/>
  <c r="S58" i="1"/>
  <c r="R63" i="1"/>
  <c r="L58" i="1"/>
  <c r="M58" i="1" s="1"/>
  <c r="M47" i="1"/>
  <c r="J58" i="1"/>
  <c r="K58" i="1" s="1"/>
  <c r="K47" i="1"/>
  <c r="V58" i="1"/>
  <c r="W58" i="1" s="1"/>
  <c r="W47" i="1"/>
  <c r="P47" i="1" l="1"/>
  <c r="AF37" i="1"/>
  <c r="AD45" i="1"/>
  <c r="AE37" i="1"/>
  <c r="AC37" i="1"/>
  <c r="AA45" i="1"/>
  <c r="AB37" i="1"/>
  <c r="AE31" i="1"/>
  <c r="AF31" i="1"/>
  <c r="AE29" i="1"/>
  <c r="AF29" i="1"/>
  <c r="AF26" i="1"/>
  <c r="AE26" i="1"/>
  <c r="AF24" i="1"/>
  <c r="AE24" i="1"/>
  <c r="T63" i="1"/>
  <c r="U58" i="1"/>
  <c r="X58" i="1"/>
  <c r="Y58" i="1" s="1"/>
  <c r="Z47" i="1"/>
  <c r="AA34" i="1"/>
  <c r="AB32" i="1"/>
  <c r="AC32" i="1"/>
  <c r="AE30" i="1"/>
  <c r="AD32" i="1"/>
  <c r="AF30" i="1"/>
  <c r="N58" i="1"/>
  <c r="O47" i="1"/>
  <c r="H47" i="1"/>
  <c r="I34" i="1"/>
  <c r="Q47" i="1"/>
  <c r="P58" i="1"/>
  <c r="Z58" i="1" l="1"/>
  <c r="AB45" i="1"/>
  <c r="AC45" i="1"/>
  <c r="AE45" i="1"/>
  <c r="AF45" i="1"/>
  <c r="AE32" i="1"/>
  <c r="AF32" i="1"/>
  <c r="AD34" i="1"/>
  <c r="AB34" i="1"/>
  <c r="AA47" i="1"/>
  <c r="AC34" i="1"/>
  <c r="I47" i="1"/>
  <c r="H58" i="1"/>
  <c r="I58" i="1" s="1"/>
  <c r="N63" i="1"/>
  <c r="O58" i="1"/>
  <c r="Q58" i="1"/>
  <c r="P63" i="1"/>
  <c r="AA58" i="1" l="1"/>
  <c r="AC47" i="1"/>
  <c r="AB47" i="1"/>
  <c r="AF34" i="1"/>
  <c r="AE34" i="1"/>
  <c r="AD47" i="1"/>
  <c r="AF47" i="1" l="1"/>
  <c r="AD58" i="1"/>
  <c r="AE47" i="1"/>
  <c r="AB58" i="1"/>
  <c r="AC58" i="1"/>
  <c r="AE58" i="1" l="1"/>
  <c r="AF58" i="1"/>
</calcChain>
</file>

<file path=xl/sharedStrings.xml><?xml version="1.0" encoding="utf-8"?>
<sst xmlns="http://schemas.openxmlformats.org/spreadsheetml/2006/main" count="551" uniqueCount="408">
  <si>
    <t>09810</t>
  </si>
  <si>
    <t>09900</t>
  </si>
  <si>
    <t>09950</t>
  </si>
  <si>
    <t>09960</t>
  </si>
  <si>
    <t>09970</t>
  </si>
  <si>
    <t>Social Security/Medicare</t>
  </si>
  <si>
    <t>Development Expenses</t>
  </si>
  <si>
    <t>06155</t>
  </si>
  <si>
    <t>06130</t>
  </si>
  <si>
    <t>06140</t>
  </si>
  <si>
    <t>01400</t>
  </si>
  <si>
    <t>Design Supplies</t>
  </si>
  <si>
    <t>Composition Income</t>
  </si>
  <si>
    <t>Discounts Earned</t>
  </si>
  <si>
    <t>Miscellaneous Income</t>
  </si>
  <si>
    <t>31300</t>
  </si>
  <si>
    <t>31400</t>
  </si>
  <si>
    <t>31700</t>
  </si>
  <si>
    <t>31705</t>
  </si>
  <si>
    <t>31710</t>
  </si>
  <si>
    <t>31900</t>
  </si>
  <si>
    <t>32100</t>
  </si>
  <si>
    <t>32990</t>
  </si>
  <si>
    <t>32000</t>
  </si>
  <si>
    <t>DM - Postage</t>
  </si>
  <si>
    <t>Net Journal Contribution</t>
  </si>
  <si>
    <t>Overtime / Temp Allowance</t>
  </si>
  <si>
    <t>State Academic Affairs Support</t>
  </si>
  <si>
    <t>UNC-CH Overhead Receipts</t>
  </si>
  <si>
    <t>Actual</t>
  </si>
  <si>
    <t>JOURNALS</t>
  </si>
  <si>
    <t>Depreciation</t>
  </si>
  <si>
    <t>NET JOURNAL INCOME</t>
  </si>
  <si>
    <t>Dollars</t>
  </si>
  <si>
    <t>Design &amp; Production</t>
  </si>
  <si>
    <t>General Administration</t>
  </si>
  <si>
    <t>DESIGN &amp; PRODUCTION</t>
  </si>
  <si>
    <t>DISTRIBUTION CENTER</t>
  </si>
  <si>
    <t>Electronic Mktg Expenses</t>
  </si>
  <si>
    <t>Freelance c/e - postage/phone</t>
  </si>
  <si>
    <t>FL c/e - clean-up</t>
  </si>
  <si>
    <t>FY 2000-2001</t>
  </si>
  <si>
    <t>FY 2001-2002</t>
  </si>
  <si>
    <t>FY 2002-2003</t>
  </si>
  <si>
    <t>FY 2003-2004</t>
  </si>
  <si>
    <t>Account</t>
  </si>
  <si>
    <t>Number</t>
  </si>
  <si>
    <t>Series Eds Reading Fees</t>
  </si>
  <si>
    <t>01100</t>
  </si>
  <si>
    <t>01110</t>
  </si>
  <si>
    <t>01200</t>
  </si>
  <si>
    <t>01550</t>
  </si>
  <si>
    <t>01600</t>
  </si>
  <si>
    <t>01700</t>
  </si>
  <si>
    <t>01800</t>
  </si>
  <si>
    <t>01950</t>
  </si>
  <si>
    <t>01960</t>
  </si>
  <si>
    <t>01970</t>
  </si>
  <si>
    <t>02100</t>
  </si>
  <si>
    <t>02300</t>
  </si>
  <si>
    <t>02310</t>
  </si>
  <si>
    <t>02500</t>
  </si>
  <si>
    <t>02550</t>
  </si>
  <si>
    <t>02560</t>
  </si>
  <si>
    <t>02600</t>
  </si>
  <si>
    <t>02700</t>
  </si>
  <si>
    <t>02800</t>
  </si>
  <si>
    <t>02810</t>
  </si>
  <si>
    <t>02950</t>
  </si>
  <si>
    <t>02960</t>
  </si>
  <si>
    <t>02970</t>
  </si>
  <si>
    <t>03100</t>
  </si>
  <si>
    <t>03200</t>
  </si>
  <si>
    <t>03210</t>
  </si>
  <si>
    <t>03230</t>
  </si>
  <si>
    <t>03240</t>
  </si>
  <si>
    <t>03250</t>
  </si>
  <si>
    <t>03600</t>
  </si>
  <si>
    <t>03800</t>
  </si>
  <si>
    <t>03810</t>
  </si>
  <si>
    <t>03950</t>
  </si>
  <si>
    <t>03960</t>
  </si>
  <si>
    <t>03970</t>
  </si>
  <si>
    <t>04100</t>
  </si>
  <si>
    <t>04115</t>
  </si>
  <si>
    <t>04150</t>
  </si>
  <si>
    <t>04151</t>
  </si>
  <si>
    <t>04160</t>
  </si>
  <si>
    <t>04161</t>
  </si>
  <si>
    <t>04163</t>
  </si>
  <si>
    <t>04164</t>
  </si>
  <si>
    <t>04170</t>
  </si>
  <si>
    <t>04200</t>
  </si>
  <si>
    <t>04300</t>
  </si>
  <si>
    <t>04400</t>
  </si>
  <si>
    <t>04440</t>
  </si>
  <si>
    <t>04441</t>
  </si>
  <si>
    <t>04442</t>
  </si>
  <si>
    <t>04443</t>
  </si>
  <si>
    <t>04450</t>
  </si>
  <si>
    <t>04452</t>
  </si>
  <si>
    <t>04453</t>
  </si>
  <si>
    <t>04481</t>
  </si>
  <si>
    <t>04485</t>
  </si>
  <si>
    <t>04501</t>
  </si>
  <si>
    <t>04502</t>
  </si>
  <si>
    <t>04505</t>
  </si>
  <si>
    <t>04506</t>
  </si>
  <si>
    <t>04507</t>
  </si>
  <si>
    <t>04550</t>
  </si>
  <si>
    <t>04600</t>
  </si>
  <si>
    <t>04700</t>
  </si>
  <si>
    <t>04701</t>
  </si>
  <si>
    <t>04702</t>
  </si>
  <si>
    <t>04800</t>
  </si>
  <si>
    <t>04805</t>
  </si>
  <si>
    <t>04810</t>
  </si>
  <si>
    <t>04850</t>
  </si>
  <si>
    <t>04855</t>
  </si>
  <si>
    <t>04920</t>
  </si>
  <si>
    <t>04940</t>
  </si>
  <si>
    <t>04950</t>
  </si>
  <si>
    <t>04960</t>
  </si>
  <si>
    <t>04970</t>
  </si>
  <si>
    <t>05100</t>
  </si>
  <si>
    <t>05110</t>
  </si>
  <si>
    <t>05300</t>
  </si>
  <si>
    <t>05400</t>
  </si>
  <si>
    <t>05440</t>
  </si>
  <si>
    <t>05500</t>
  </si>
  <si>
    <t>05600</t>
  </si>
  <si>
    <t>05700</t>
  </si>
  <si>
    <t>05800</t>
  </si>
  <si>
    <t>05850</t>
  </si>
  <si>
    <t>05860</t>
  </si>
  <si>
    <t>05915</t>
  </si>
  <si>
    <t>05920</t>
  </si>
  <si>
    <t>05950</t>
  </si>
  <si>
    <t>05960</t>
  </si>
  <si>
    <t>05970</t>
  </si>
  <si>
    <t>07100</t>
  </si>
  <si>
    <t>07400</t>
  </si>
  <si>
    <t>07500</t>
  </si>
  <si>
    <t>07600</t>
  </si>
  <si>
    <t>07650</t>
  </si>
  <si>
    <t>07700</t>
  </si>
  <si>
    <t>07780</t>
  </si>
  <si>
    <t>07790</t>
  </si>
  <si>
    <t>07800</t>
  </si>
  <si>
    <t>07950</t>
  </si>
  <si>
    <t>07960</t>
  </si>
  <si>
    <t>07970</t>
  </si>
  <si>
    <t>08100</t>
  </si>
  <si>
    <t>08400</t>
  </si>
  <si>
    <t>08800</t>
  </si>
  <si>
    <t>08880</t>
  </si>
  <si>
    <t>08950</t>
  </si>
  <si>
    <t>08960</t>
  </si>
  <si>
    <t>08970</t>
  </si>
  <si>
    <t>06100</t>
  </si>
  <si>
    <t>06115</t>
  </si>
  <si>
    <t>06120</t>
  </si>
  <si>
    <t>06125</t>
  </si>
  <si>
    <t>06350</t>
  </si>
  <si>
    <t>06400</t>
  </si>
  <si>
    <t>06401</t>
  </si>
  <si>
    <t>06405</t>
  </si>
  <si>
    <t>06410</t>
  </si>
  <si>
    <t>06420</t>
  </si>
  <si>
    <t>06430</t>
  </si>
  <si>
    <t>06440</t>
  </si>
  <si>
    <t>06550</t>
  </si>
  <si>
    <t>06600</t>
  </si>
  <si>
    <t>06650</t>
  </si>
  <si>
    <t>06700</t>
  </si>
  <si>
    <t>06701</t>
  </si>
  <si>
    <t>06702</t>
  </si>
  <si>
    <t>06703</t>
  </si>
  <si>
    <t>06710</t>
  </si>
  <si>
    <t>06800</t>
  </si>
  <si>
    <t>06810</t>
  </si>
  <si>
    <t>06815</t>
  </si>
  <si>
    <t>06820</t>
  </si>
  <si>
    <t>06840</t>
  </si>
  <si>
    <t>06880</t>
  </si>
  <si>
    <t>06900</t>
  </si>
  <si>
    <t>06912</t>
  </si>
  <si>
    <t>06915</t>
  </si>
  <si>
    <t>06920</t>
  </si>
  <si>
    <t>06925</t>
  </si>
  <si>
    <t>06945</t>
  </si>
  <si>
    <t>06950</t>
  </si>
  <si>
    <t>06960</t>
  </si>
  <si>
    <t>06970</t>
  </si>
  <si>
    <t>09100</t>
  </si>
  <si>
    <t>09400</t>
  </si>
  <si>
    <t>09600</t>
  </si>
  <si>
    <t>09800</t>
  </si>
  <si>
    <t xml:space="preserve"> </t>
  </si>
  <si>
    <t>%</t>
  </si>
  <si>
    <t>Gross Press Sales</t>
  </si>
  <si>
    <t>Total Net Sales</t>
  </si>
  <si>
    <t>Plant Costs (at publication)</t>
  </si>
  <si>
    <t>Royalties (earned)</t>
  </si>
  <si>
    <t>Commission COGS (refunds)</t>
  </si>
  <si>
    <t>Total Cost of Sales</t>
  </si>
  <si>
    <t>Gross Margin</t>
  </si>
  <si>
    <t>Subsidiary Rights</t>
  </si>
  <si>
    <t>Acquisitions Editorial</t>
  </si>
  <si>
    <t>Manuscript Editorial</t>
  </si>
  <si>
    <t>Marketing</t>
  </si>
  <si>
    <t>Accounting</t>
  </si>
  <si>
    <t>Total Operating Expense</t>
  </si>
  <si>
    <t>State and University Support</t>
  </si>
  <si>
    <t>(FTE employees)</t>
  </si>
  <si>
    <t>Salaries</t>
  </si>
  <si>
    <t>Temporary Employment</t>
  </si>
  <si>
    <t>Supplies</t>
  </si>
  <si>
    <t>Equipment Maintenance</t>
  </si>
  <si>
    <t>Complimentary Copies</t>
  </si>
  <si>
    <t>Telephone</t>
  </si>
  <si>
    <t>Travel</t>
  </si>
  <si>
    <t>Postage</t>
  </si>
  <si>
    <t>Federal Express</t>
  </si>
  <si>
    <t>Retirement</t>
  </si>
  <si>
    <t>Health Insurance</t>
  </si>
  <si>
    <t>TOTAL</t>
  </si>
  <si>
    <t>ACQUISITIONS EDITORIAL</t>
  </si>
  <si>
    <t>Series Editors Fees</t>
  </si>
  <si>
    <t>Special Funds Credit</t>
  </si>
  <si>
    <t>Supplies &amp; Miscellaneous</t>
  </si>
  <si>
    <t>Subscriptions</t>
  </si>
  <si>
    <t>Manuscript Reading Fees</t>
  </si>
  <si>
    <t>Comps - Readers Fees</t>
  </si>
  <si>
    <t>Copying</t>
  </si>
  <si>
    <t>MANUSCRIPT EDITORIAL</t>
  </si>
  <si>
    <t>Freelance Copyediting</t>
  </si>
  <si>
    <t>Freelance c/e - printout</t>
  </si>
  <si>
    <t>MARKETING</t>
  </si>
  <si>
    <t>Sales Commissions - Domestic</t>
  </si>
  <si>
    <t>Sales Commissions - Foreign</t>
  </si>
  <si>
    <t>Sales - Selling Expense</t>
  </si>
  <si>
    <t>Sales - Trade Exhibits</t>
  </si>
  <si>
    <t>Sales - Travel</t>
  </si>
  <si>
    <t>Direct Mail - List Rental</t>
  </si>
  <si>
    <t xml:space="preserve">Publicity </t>
  </si>
  <si>
    <t>Publicity - Au Travel</t>
  </si>
  <si>
    <t>Publicity - Author Events</t>
  </si>
  <si>
    <t>Advertising - Space</t>
  </si>
  <si>
    <t>Exhibits - Booth Rental</t>
  </si>
  <si>
    <t>Exhibits - Co-op</t>
  </si>
  <si>
    <t>Exhibits - Shipping Costs</t>
  </si>
  <si>
    <t>Exhibits - Furnishings</t>
  </si>
  <si>
    <t>Review Copies</t>
  </si>
  <si>
    <t>Postage - Warehouse</t>
  </si>
  <si>
    <t>Postage - Office</t>
  </si>
  <si>
    <t>Copying - Proof &amp; Cranes</t>
  </si>
  <si>
    <t>Special Marketing</t>
  </si>
  <si>
    <t>Miscellaneous</t>
  </si>
  <si>
    <t>Mileage</t>
  </si>
  <si>
    <t>Utilities</t>
  </si>
  <si>
    <t>Building Maintenance</t>
  </si>
  <si>
    <t>Building Depreciation</t>
  </si>
  <si>
    <t>Equipment Depreciation</t>
  </si>
  <si>
    <t>Hardware Maintenance</t>
  </si>
  <si>
    <t>800-Wats Line</t>
  </si>
  <si>
    <t>Credit card fees</t>
  </si>
  <si>
    <t>ACCOUNTING</t>
  </si>
  <si>
    <t>GENERAL ADMINISTRATIVE</t>
  </si>
  <si>
    <t>Hiring Expenses</t>
  </si>
  <si>
    <t>Supplies - General Office</t>
  </si>
  <si>
    <t>Professional Dues</t>
  </si>
  <si>
    <t xml:space="preserve">Copy Machines </t>
  </si>
  <si>
    <t xml:space="preserve">Mail Machines </t>
  </si>
  <si>
    <t>Insurance</t>
  </si>
  <si>
    <t>Travel - AAUP</t>
  </si>
  <si>
    <t>Rights Expense</t>
  </si>
  <si>
    <t>Contingency Fund</t>
  </si>
  <si>
    <t>Royalty writeoff</t>
  </si>
  <si>
    <t>Depreciation - Building</t>
  </si>
  <si>
    <t xml:space="preserve">Loss on Disposal </t>
  </si>
  <si>
    <t>Title Subsidies - outside</t>
  </si>
  <si>
    <t>Freelance Production/Design</t>
  </si>
  <si>
    <t>Total Other Income</t>
  </si>
  <si>
    <t>Meals - Staff</t>
  </si>
  <si>
    <t xml:space="preserve">Freelance </t>
  </si>
  <si>
    <t>EDI charges</t>
  </si>
  <si>
    <t>Commission Sales</t>
  </si>
  <si>
    <t>Sale of Hurts/Damaged Books</t>
  </si>
  <si>
    <t>FY 2004-2005</t>
  </si>
  <si>
    <t>Brd of Gov Expenses</t>
  </si>
  <si>
    <t>Bank Fees</t>
  </si>
  <si>
    <t>Inventory Sale Catalog</t>
  </si>
  <si>
    <t>Operating Reserve Draw</t>
  </si>
  <si>
    <t>Commission Income:</t>
  </si>
  <si>
    <t xml:space="preserve">  High School Journal</t>
  </si>
  <si>
    <t xml:space="preserve">  Studies in Philology</t>
  </si>
  <si>
    <t xml:space="preserve">  Social Forces</t>
  </si>
  <si>
    <t xml:space="preserve">  Southern Cultures</t>
  </si>
  <si>
    <t xml:space="preserve">  Early American Literature</t>
  </si>
  <si>
    <t xml:space="preserve">  Southeastern Geographer</t>
  </si>
  <si>
    <t xml:space="preserve">  Southern Literary Journal</t>
  </si>
  <si>
    <t>Total Income</t>
  </si>
  <si>
    <t>Operating Expenses:</t>
  </si>
  <si>
    <t>09700</t>
  </si>
  <si>
    <t>09410</t>
  </si>
  <si>
    <t>06885</t>
  </si>
  <si>
    <t>06165</t>
  </si>
  <si>
    <t>02900</t>
  </si>
  <si>
    <t>Endowment Support</t>
  </si>
  <si>
    <t>Total Internal Support</t>
  </si>
  <si>
    <t>Social Security</t>
  </si>
  <si>
    <t>Transfer to UNC-CH Journals</t>
  </si>
  <si>
    <t>Description</t>
  </si>
  <si>
    <t>Vacation Accrual</t>
  </si>
  <si>
    <t>E-Book Sales</t>
  </si>
  <si>
    <t>Direct Mail - Prod &amp; Printing</t>
  </si>
  <si>
    <t>Sales - Trade Adv. &amp; Co-op</t>
  </si>
  <si>
    <t>Awards - Comp Copies &amp; Fees</t>
  </si>
  <si>
    <t>Catalogs - Prod &amp; Printing</t>
  </si>
  <si>
    <t>Direct Mail - Svcs &amp; Postage</t>
  </si>
  <si>
    <t>Advertising - Exhibit Programs</t>
  </si>
  <si>
    <t>Exhibits - Posters/Displays</t>
  </si>
  <si>
    <t>Pstg Machine Rental/Maint</t>
  </si>
  <si>
    <t>Equip Repairs/Maint</t>
  </si>
  <si>
    <t>Supplies - Kitchen/Bathroom</t>
  </si>
  <si>
    <t>Entertainment/Meals - Client</t>
  </si>
  <si>
    <t>NC FICA/Flex Spending</t>
  </si>
  <si>
    <t>Software Support/Programming</t>
  </si>
  <si>
    <t>06112</t>
  </si>
  <si>
    <t>Mfg COGS (print/bind/misc)</t>
  </si>
  <si>
    <t>4482</t>
  </si>
  <si>
    <t>70240</t>
  </si>
  <si>
    <t>70200</t>
  </si>
  <si>
    <t>70100</t>
  </si>
  <si>
    <t>70250</t>
  </si>
  <si>
    <t>73000</t>
  </si>
  <si>
    <t>74000</t>
  </si>
  <si>
    <t>31930</t>
  </si>
  <si>
    <t>32800</t>
  </si>
  <si>
    <t>32200</t>
  </si>
  <si>
    <t>32600</t>
  </si>
  <si>
    <t>32400</t>
  </si>
  <si>
    <t>32700</t>
  </si>
  <si>
    <t>32500</t>
  </si>
  <si>
    <t>32300</t>
  </si>
  <si>
    <t>04448</t>
  </si>
  <si>
    <t>Invty Sale Catalog Expenses</t>
  </si>
  <si>
    <t>Advertising - Underwriting</t>
  </si>
  <si>
    <t>Maple-Vail Fees (at 6.5% of net sales)</t>
  </si>
  <si>
    <t>Bad Debt Write-Off</t>
  </si>
  <si>
    <t>Bad Debt Recovery</t>
  </si>
  <si>
    <t>Fulfillment Expenses</t>
  </si>
  <si>
    <t>Information Systems</t>
  </si>
  <si>
    <t>FULFILLMENT</t>
  </si>
  <si>
    <t>INFORMATION SYSTEMS</t>
  </si>
  <si>
    <t>Travel and Misc</t>
  </si>
  <si>
    <t>BookWorks</t>
  </si>
  <si>
    <t xml:space="preserve">  The Comparatist</t>
  </si>
  <si>
    <t>Hardware</t>
  </si>
  <si>
    <t>Software</t>
  </si>
  <si>
    <t>Consulting</t>
  </si>
  <si>
    <t>04910</t>
  </si>
  <si>
    <t>Iron Mountain Backup</t>
  </si>
  <si>
    <t>06890</t>
  </si>
  <si>
    <t>Interest Expense</t>
  </si>
  <si>
    <t>Credit Card Processing Fess</t>
  </si>
  <si>
    <t>Longleaf Fees</t>
  </si>
  <si>
    <t>Maple-Vail Special Services</t>
  </si>
  <si>
    <t>Interest Income</t>
  </si>
  <si>
    <t>FY 2007-2008</t>
  </si>
  <si>
    <t>DAMS/File Conversion Costs</t>
  </si>
  <si>
    <t>Document Mgmt System</t>
  </si>
  <si>
    <t xml:space="preserve">  Appalachian Heritage</t>
  </si>
  <si>
    <t xml:space="preserve">Operating Surplus/(Deficit) </t>
  </si>
  <si>
    <t>Surplus/(Deficit) before Support</t>
  </si>
  <si>
    <t>Publicity - Travel</t>
  </si>
  <si>
    <t>Exhibits - Travel</t>
  </si>
  <si>
    <t>Travel - General</t>
  </si>
  <si>
    <t>Software Support</t>
  </si>
  <si>
    <t>XML Online Editing Software</t>
  </si>
  <si>
    <t>Audit/Tax Prep Expense</t>
  </si>
  <si>
    <t>Equipment/Furniture</t>
  </si>
  <si>
    <t>LCRM/Mellon Project Expenses</t>
  </si>
  <si>
    <t>Freelance Proofreading</t>
  </si>
  <si>
    <t>Net Operating Surplus/(Deficit)</t>
  </si>
  <si>
    <t>Net Gain/Loss on Investments</t>
  </si>
  <si>
    <t>Investment Mgmt Fees</t>
  </si>
  <si>
    <t>Surplus/(Deficit)</t>
  </si>
  <si>
    <t>New Endowment Gifts</t>
  </si>
  <si>
    <t>Invty Write-Off/overstk/destroy</t>
  </si>
  <si>
    <t>Total Gross Sales</t>
  </si>
  <si>
    <t>FY 2008-2009</t>
  </si>
  <si>
    <t>Sales Returns Reserve</t>
  </si>
  <si>
    <t>Actual Sales Returns</t>
  </si>
  <si>
    <t>FY 2009-2010</t>
  </si>
  <si>
    <t>Press Club Gifts</t>
  </si>
  <si>
    <t>Depreciation - Equip</t>
  </si>
  <si>
    <t>FY 2010-2011</t>
  </si>
  <si>
    <t>Unemployment/Severance/COBRA</t>
  </si>
  <si>
    <t>FY 2011-2012</t>
  </si>
  <si>
    <t>Budget Worksheet</t>
  </si>
  <si>
    <t xml:space="preserve">  Jrnl Civil War Era</t>
  </si>
  <si>
    <t>FY 2012-2013</t>
  </si>
  <si>
    <t>FY 2013-2014</t>
  </si>
  <si>
    <t>% Incr</t>
  </si>
  <si>
    <t>Revised Budget</t>
  </si>
  <si>
    <t>July-Mar (9 mos)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</si>
</sst>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164" formatCode="&quot;$&quot;#,##0;[Red]\-&quot;$&quot;#,##0"/>
    <numFmt numFmtId="165" formatCode="&quot;$&quot;#,##0.00;[Red]\-&quot;$&quot;#,##0.00"/>
    <numFmt numFmtId="166" formatCode="0.0%"/>
    <numFmt numFmtId="167" formatCode="0.00_);\(0.00\)"/>
    <numFmt numFmtId="168" formatCode="0_);\(0\)"/>
  </numFmts>
  <fonts count="36" x14ac:knownFonts="1">
    <font>
      <sz val="10"/>
      <name val="Courier"/>
    </font>
    <font>
      <sz val="12"/>
      <color theme="1"/>
      <name val="Times New Roman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u/>
      <sz val="10"/>
      <name val="Times New Roman"/>
      <family val="1"/>
    </font>
    <font>
      <sz val="10"/>
      <name val="Courier"/>
      <family val="3"/>
    </font>
    <font>
      <i/>
      <sz val="8"/>
      <name val="Times New Roman"/>
      <family val="1"/>
    </font>
    <font>
      <sz val="8"/>
      <name val="Times New Roman"/>
      <family val="1"/>
    </font>
    <font>
      <sz val="8"/>
      <name val="Courier"/>
      <family val="3"/>
    </font>
    <font>
      <sz val="12"/>
      <name val="Times New Roman"/>
      <family val="1"/>
    </font>
    <font>
      <sz val="10"/>
      <name val="Courier"/>
      <family val="3"/>
    </font>
    <font>
      <i/>
      <sz val="12"/>
      <name val="Times New Roman"/>
      <family val="1"/>
    </font>
    <font>
      <b/>
      <sz val="12"/>
      <name val="Times New Roman"/>
      <family val="1"/>
    </font>
    <font>
      <i/>
      <u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94">
    <xf numFmtId="2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23" fillId="23" borderId="7" applyNumberFormat="0" applyFont="0" applyAlignment="0" applyProtection="0"/>
    <xf numFmtId="0" fontId="32" fillId="20" borderId="8" applyNumberFormat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2" fontId="5" fillId="0" borderId="0"/>
    <xf numFmtId="0" fontId="11" fillId="23" borderId="7" applyNumberFormat="0" applyFont="0" applyAlignment="0" applyProtection="0"/>
    <xf numFmtId="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23" borderId="7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2" fontId="5" fillId="0" borderId="0"/>
    <xf numFmtId="0" fontId="32" fillId="20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</cellStyleXfs>
  <cellXfs count="654">
    <xf numFmtId="2" fontId="0" fillId="0" borderId="0" xfId="0"/>
    <xf numFmtId="168" fontId="3" fillId="0" borderId="0" xfId="0" applyNumberFormat="1" applyFont="1"/>
    <xf numFmtId="168" fontId="7" fillId="0" borderId="0" xfId="0" applyNumberFormat="1" applyFont="1"/>
    <xf numFmtId="4" fontId="3" fillId="0" borderId="0" xfId="28" applyFont="1"/>
    <xf numFmtId="168" fontId="6" fillId="0" borderId="0" xfId="0" applyNumberFormat="1" applyFont="1"/>
    <xf numFmtId="166" fontId="9" fillId="0" borderId="0" xfId="42" applyNumberFormat="1" applyFont="1" applyBorder="1"/>
    <xf numFmtId="2" fontId="10" fillId="0" borderId="0" xfId="0" applyFont="1" applyBorder="1"/>
    <xf numFmtId="168" fontId="8" fillId="0" borderId="0" xfId="0" applyNumberFormat="1" applyFont="1" applyBorder="1"/>
    <xf numFmtId="164" fontId="3" fillId="0" borderId="0" xfId="29" applyNumberFormat="1" applyFont="1" applyBorder="1"/>
    <xf numFmtId="168" fontId="4" fillId="0" borderId="0" xfId="0" applyNumberFormat="1" applyFont="1" applyBorder="1" applyAlignment="1">
      <alignment horizontal="left"/>
    </xf>
    <xf numFmtId="2" fontId="0" fillId="0" borderId="0" xfId="0" applyBorder="1"/>
    <xf numFmtId="2" fontId="12" fillId="0" borderId="0" xfId="0" applyFont="1" applyBorder="1"/>
    <xf numFmtId="167" fontId="4" fillId="0" borderId="0" xfId="0" applyNumberFormat="1" applyFont="1" applyBorder="1" applyAlignment="1">
      <alignment horizontal="left"/>
    </xf>
    <xf numFmtId="168" fontId="3" fillId="0" borderId="0" xfId="0" applyNumberFormat="1" applyFont="1" applyBorder="1"/>
    <xf numFmtId="2" fontId="5" fillId="0" borderId="0" xfId="0" applyFont="1" applyBorder="1"/>
    <xf numFmtId="168" fontId="13" fillId="0" borderId="0" xfId="0" applyNumberFormat="1" applyFont="1" applyBorder="1"/>
    <xf numFmtId="2" fontId="11" fillId="0" borderId="0" xfId="0" applyFont="1" applyBorder="1"/>
    <xf numFmtId="168" fontId="15" fillId="0" borderId="0" xfId="0" applyNumberFormat="1" applyFont="1" applyBorder="1"/>
    <xf numFmtId="164" fontId="11" fillId="0" borderId="10" xfId="29" applyNumberFormat="1" applyFont="1" applyBorder="1" applyAlignment="1" applyProtection="1">
      <alignment horizontal="centerContinuous"/>
    </xf>
    <xf numFmtId="166" fontId="11" fillId="0" borderId="11" xfId="42" applyNumberFormat="1" applyFont="1" applyBorder="1" applyAlignment="1">
      <alignment horizontal="centerContinuous"/>
    </xf>
    <xf numFmtId="2" fontId="11" fillId="0" borderId="10" xfId="0" applyFont="1" applyBorder="1" applyAlignment="1">
      <alignment horizontal="centerContinuous"/>
    </xf>
    <xf numFmtId="166" fontId="11" fillId="0" borderId="11" xfId="0" applyNumberFormat="1" applyFont="1" applyBorder="1" applyAlignment="1">
      <alignment horizontal="centerContinuous"/>
    </xf>
    <xf numFmtId="164" fontId="11" fillId="0" borderId="12" xfId="29" applyNumberFormat="1" applyFont="1" applyBorder="1" applyAlignment="1" applyProtection="1">
      <alignment horizontal="center"/>
    </xf>
    <xf numFmtId="166" fontId="11" fillId="0" borderId="13" xfId="42" applyNumberFormat="1" applyFont="1" applyBorder="1" applyAlignment="1" applyProtection="1">
      <alignment horizontal="center"/>
    </xf>
    <xf numFmtId="2" fontId="11" fillId="0" borderId="10" xfId="0" applyFont="1" applyBorder="1"/>
    <xf numFmtId="166" fontId="11" fillId="0" borderId="11" xfId="0" applyNumberFormat="1" applyFont="1" applyBorder="1"/>
    <xf numFmtId="164" fontId="11" fillId="0" borderId="14" xfId="29" applyNumberFormat="1" applyFont="1" applyBorder="1" applyAlignment="1" applyProtection="1">
      <alignment horizontal="right"/>
    </xf>
    <xf numFmtId="166" fontId="11" fillId="0" borderId="15" xfId="42" applyNumberFormat="1" applyFont="1" applyBorder="1" applyAlignment="1" applyProtection="1">
      <alignment horizontal="right"/>
    </xf>
    <xf numFmtId="164" fontId="11" fillId="0" borderId="10" xfId="29" applyNumberFormat="1" applyFont="1" applyBorder="1" applyProtection="1"/>
    <xf numFmtId="166" fontId="11" fillId="0" borderId="11" xfId="42" applyNumberFormat="1" applyFont="1" applyBorder="1"/>
    <xf numFmtId="166" fontId="11" fillId="0" borderId="10" xfId="42" applyNumberFormat="1" applyFont="1" applyBorder="1" applyProtection="1"/>
    <xf numFmtId="166" fontId="11" fillId="0" borderId="11" xfId="42" applyNumberFormat="1" applyFont="1" applyBorder="1" applyProtection="1"/>
    <xf numFmtId="166" fontId="11" fillId="0" borderId="15" xfId="42" applyNumberFormat="1" applyFont="1" applyBorder="1" applyProtection="1"/>
    <xf numFmtId="9" fontId="11" fillId="0" borderId="10" xfId="42" applyFont="1" applyBorder="1" applyProtection="1"/>
    <xf numFmtId="164" fontId="11" fillId="0" borderId="14" xfId="29" applyNumberFormat="1" applyFont="1" applyBorder="1"/>
    <xf numFmtId="164" fontId="11" fillId="0" borderId="10" xfId="29" applyNumberFormat="1" applyFont="1" applyBorder="1"/>
    <xf numFmtId="166" fontId="11" fillId="0" borderId="15" xfId="42" applyNumberFormat="1" applyFont="1" applyBorder="1"/>
    <xf numFmtId="164" fontId="11" fillId="0" borderId="16" xfId="29" applyNumberFormat="1" applyFont="1" applyBorder="1" applyProtection="1"/>
    <xf numFmtId="166" fontId="11" fillId="0" borderId="17" xfId="42" applyNumberFormat="1" applyFont="1" applyBorder="1" applyProtection="1"/>
    <xf numFmtId="2" fontId="11" fillId="0" borderId="11" xfId="0" applyFont="1" applyBorder="1"/>
    <xf numFmtId="3" fontId="11" fillId="0" borderId="10" xfId="28" applyNumberFormat="1" applyFont="1" applyBorder="1" applyProtection="1"/>
    <xf numFmtId="3" fontId="11" fillId="0" borderId="14" xfId="28" applyNumberFormat="1" applyFont="1" applyBorder="1" applyProtection="1"/>
    <xf numFmtId="2" fontId="11" fillId="0" borderId="15" xfId="0" applyFont="1" applyBorder="1"/>
    <xf numFmtId="4" fontId="11" fillId="0" borderId="10" xfId="28" applyNumberFormat="1" applyFont="1" applyBorder="1" applyProtection="1"/>
    <xf numFmtId="3" fontId="14" fillId="0" borderId="10" xfId="28" applyNumberFormat="1" applyFont="1" applyBorder="1" applyProtection="1"/>
    <xf numFmtId="3" fontId="11" fillId="0" borderId="16" xfId="28" applyNumberFormat="1" applyFont="1" applyBorder="1"/>
    <xf numFmtId="2" fontId="11" fillId="0" borderId="17" xfId="0" applyFont="1" applyBorder="1"/>
    <xf numFmtId="3" fontId="11" fillId="0" borderId="18" xfId="28" applyNumberFormat="1" applyFont="1" applyBorder="1" applyProtection="1"/>
    <xf numFmtId="164" fontId="11" fillId="0" borderId="19" xfId="29" applyNumberFormat="1" applyFont="1" applyBorder="1" applyAlignment="1" applyProtection="1">
      <alignment horizontal="right"/>
    </xf>
    <xf numFmtId="166" fontId="11" fillId="0" borderId="20" xfId="42" applyNumberFormat="1" applyFont="1" applyBorder="1" applyAlignment="1" applyProtection="1">
      <alignment horizontal="right"/>
    </xf>
    <xf numFmtId="164" fontId="11" fillId="0" borderId="21" xfId="29" applyNumberFormat="1" applyFont="1" applyBorder="1" applyAlignment="1" applyProtection="1">
      <alignment horizontal="right"/>
    </xf>
    <xf numFmtId="164" fontId="11" fillId="0" borderId="22" xfId="29" applyNumberFormat="1" applyFont="1" applyBorder="1" applyProtection="1"/>
    <xf numFmtId="166" fontId="11" fillId="0" borderId="23" xfId="42" applyNumberFormat="1" applyFont="1" applyBorder="1" applyProtection="1"/>
    <xf numFmtId="164" fontId="11" fillId="0" borderId="19" xfId="29" applyNumberFormat="1" applyFont="1" applyBorder="1" applyProtection="1"/>
    <xf numFmtId="166" fontId="11" fillId="0" borderId="20" xfId="42" applyNumberFormat="1" applyFont="1" applyBorder="1" applyProtection="1"/>
    <xf numFmtId="164" fontId="11" fillId="0" borderId="21" xfId="29" applyNumberFormat="1" applyFont="1" applyBorder="1" applyProtection="1"/>
    <xf numFmtId="166" fontId="11" fillId="0" borderId="24" xfId="42" applyNumberFormat="1" applyFont="1" applyBorder="1" applyProtection="1"/>
    <xf numFmtId="164" fontId="11" fillId="0" borderId="19" xfId="29" applyNumberFormat="1" applyFont="1" applyBorder="1"/>
    <xf numFmtId="166" fontId="11" fillId="0" borderId="20" xfId="42" applyNumberFormat="1" applyFont="1" applyBorder="1"/>
    <xf numFmtId="3" fontId="11" fillId="0" borderId="22" xfId="28" applyNumberFormat="1" applyFont="1" applyBorder="1" applyProtection="1"/>
    <xf numFmtId="2" fontId="11" fillId="0" borderId="23" xfId="0" applyFont="1" applyBorder="1"/>
    <xf numFmtId="3" fontId="11" fillId="0" borderId="19" xfId="28" applyNumberFormat="1" applyFont="1" applyBorder="1" applyProtection="1"/>
    <xf numFmtId="2" fontId="11" fillId="0" borderId="20" xfId="0" applyFont="1" applyBorder="1"/>
    <xf numFmtId="3" fontId="11" fillId="0" borderId="21" xfId="28" applyNumberFormat="1" applyFont="1" applyBorder="1" applyProtection="1"/>
    <xf numFmtId="2" fontId="11" fillId="0" borderId="24" xfId="0" applyFont="1" applyBorder="1"/>
    <xf numFmtId="3" fontId="11" fillId="0" borderId="19" xfId="28" applyNumberFormat="1" applyFont="1" applyBorder="1"/>
    <xf numFmtId="3" fontId="11" fillId="0" borderId="21" xfId="28" applyNumberFormat="1" applyFont="1" applyBorder="1"/>
    <xf numFmtId="5" fontId="11" fillId="0" borderId="19" xfId="29" applyNumberFormat="1" applyFont="1" applyBorder="1" applyProtection="1"/>
    <xf numFmtId="5" fontId="11" fillId="0" borderId="14" xfId="29" applyNumberFormat="1" applyFont="1" applyBorder="1" applyProtection="1"/>
    <xf numFmtId="5" fontId="11" fillId="0" borderId="21" xfId="29" applyNumberFormat="1" applyFont="1" applyBorder="1" applyProtection="1"/>
    <xf numFmtId="49" fontId="0" fillId="0" borderId="0" xfId="0" applyNumberFormat="1" applyBorder="1"/>
    <xf numFmtId="49" fontId="8" fillId="0" borderId="0" xfId="0" applyNumberFormat="1" applyFont="1" applyBorder="1"/>
    <xf numFmtId="5" fontId="11" fillId="0" borderId="19" xfId="29" applyNumberFormat="1" applyFont="1" applyBorder="1"/>
    <xf numFmtId="168" fontId="14" fillId="0" borderId="11" xfId="0" applyNumberFormat="1" applyFont="1" applyBorder="1" applyAlignment="1" applyProtection="1">
      <alignment horizontal="left"/>
    </xf>
    <xf numFmtId="168" fontId="14" fillId="0" borderId="23" xfId="0" applyNumberFormat="1" applyFont="1" applyBorder="1" applyAlignment="1" applyProtection="1">
      <alignment horizontal="left"/>
    </xf>
    <xf numFmtId="168" fontId="14" fillId="0" borderId="20" xfId="0" applyNumberFormat="1" applyFont="1" applyBorder="1" applyAlignment="1" applyProtection="1">
      <alignment horizontal="left"/>
    </xf>
    <xf numFmtId="168" fontId="14" fillId="0" borderId="24" xfId="0" applyNumberFormat="1" applyFont="1" applyBorder="1" applyAlignment="1" applyProtection="1">
      <alignment horizontal="left"/>
    </xf>
    <xf numFmtId="168" fontId="14" fillId="0" borderId="15" xfId="0" applyNumberFormat="1" applyFont="1" applyBorder="1" applyAlignment="1" applyProtection="1">
      <alignment horizontal="left"/>
    </xf>
    <xf numFmtId="168" fontId="14" fillId="0" borderId="11" xfId="0" applyNumberFormat="1" applyFont="1" applyBorder="1" applyAlignment="1">
      <alignment horizontal="left"/>
    </xf>
    <xf numFmtId="168" fontId="14" fillId="0" borderId="15" xfId="0" applyNumberFormat="1" applyFont="1" applyBorder="1" applyAlignment="1">
      <alignment horizontal="left"/>
    </xf>
    <xf numFmtId="168" fontId="14" fillId="0" borderId="20" xfId="0" applyNumberFormat="1" applyFont="1" applyBorder="1" applyAlignment="1">
      <alignment horizontal="left"/>
    </xf>
    <xf numFmtId="168" fontId="14" fillId="0" borderId="20" xfId="0" applyNumberFormat="1" applyFont="1" applyBorder="1"/>
    <xf numFmtId="168" fontId="14" fillId="0" borderId="17" xfId="0" applyNumberFormat="1" applyFont="1" applyBorder="1" applyAlignment="1" applyProtection="1">
      <alignment horizontal="left"/>
    </xf>
    <xf numFmtId="167" fontId="14" fillId="0" borderId="11" xfId="0" applyNumberFormat="1" applyFont="1" applyBorder="1" applyAlignment="1" applyProtection="1">
      <alignment horizontal="left"/>
    </xf>
    <xf numFmtId="167" fontId="14" fillId="0" borderId="11" xfId="0" applyNumberFormat="1" applyFont="1" applyBorder="1" applyAlignment="1">
      <alignment horizontal="left"/>
    </xf>
    <xf numFmtId="167" fontId="14" fillId="0" borderId="23" xfId="0" applyNumberFormat="1" applyFont="1" applyBorder="1" applyAlignment="1" applyProtection="1">
      <alignment horizontal="left"/>
    </xf>
    <xf numFmtId="167" fontId="14" fillId="0" borderId="20" xfId="0" applyNumberFormat="1" applyFont="1" applyBorder="1" applyAlignment="1" applyProtection="1">
      <alignment horizontal="left"/>
    </xf>
    <xf numFmtId="167" fontId="14" fillId="0" borderId="24" xfId="0" applyNumberFormat="1" applyFont="1" applyBorder="1" applyAlignment="1" applyProtection="1">
      <alignment horizontal="left"/>
    </xf>
    <xf numFmtId="167" fontId="14" fillId="0" borderId="15" xfId="0" applyNumberFormat="1" applyFont="1" applyBorder="1" applyAlignment="1" applyProtection="1">
      <alignment horizontal="left"/>
    </xf>
    <xf numFmtId="167" fontId="14" fillId="0" borderId="17" xfId="0" applyNumberFormat="1" applyFont="1" applyBorder="1" applyAlignment="1" applyProtection="1">
      <alignment horizontal="left"/>
    </xf>
    <xf numFmtId="49" fontId="13" fillId="0" borderId="10" xfId="0" applyNumberFormat="1" applyFont="1" applyBorder="1"/>
    <xf numFmtId="49" fontId="11" fillId="0" borderId="10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2" fontId="11" fillId="0" borderId="0" xfId="0" applyFont="1" applyBorder="1" applyAlignment="1">
      <alignment horizontal="center"/>
    </xf>
    <xf numFmtId="168" fontId="13" fillId="0" borderId="27" xfId="28" applyNumberFormat="1" applyFont="1" applyBorder="1" applyAlignment="1">
      <alignment horizontal="center"/>
    </xf>
    <xf numFmtId="168" fontId="13" fillId="0" borderId="28" xfId="28" applyNumberFormat="1" applyFont="1" applyBorder="1" applyAlignment="1">
      <alignment horizontal="center"/>
    </xf>
    <xf numFmtId="49" fontId="13" fillId="0" borderId="19" xfId="28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" fontId="13" fillId="0" borderId="0" xfId="28" applyFont="1" applyBorder="1" applyAlignment="1">
      <alignment horizontal="center"/>
    </xf>
    <xf numFmtId="49" fontId="13" fillId="0" borderId="10" xfId="28" applyNumberFormat="1" applyFont="1" applyBorder="1" applyAlignment="1">
      <alignment horizontal="center"/>
    </xf>
    <xf numFmtId="168" fontId="13" fillId="0" borderId="27" xfId="0" applyNumberFormat="1" applyFont="1" applyBorder="1" applyAlignment="1">
      <alignment horizontal="center"/>
    </xf>
    <xf numFmtId="49" fontId="13" fillId="0" borderId="22" xfId="0" applyNumberFormat="1" applyFont="1" applyBorder="1" applyAlignment="1">
      <alignment horizontal="center"/>
    </xf>
    <xf numFmtId="168" fontId="13" fillId="0" borderId="28" xfId="0" applyNumberFormat="1" applyFont="1" applyBorder="1" applyAlignment="1">
      <alignment horizontal="center"/>
    </xf>
    <xf numFmtId="49" fontId="13" fillId="0" borderId="19" xfId="0" applyNumberFormat="1" applyFont="1" applyBorder="1" applyAlignment="1">
      <alignment horizontal="center"/>
    </xf>
    <xf numFmtId="4" fontId="14" fillId="0" borderId="20" xfId="28" applyFont="1" applyBorder="1" applyAlignment="1" applyProtection="1">
      <alignment horizontal="left"/>
    </xf>
    <xf numFmtId="4" fontId="11" fillId="0" borderId="19" xfId="28" applyFont="1" applyBorder="1" applyProtection="1"/>
    <xf numFmtId="166" fontId="11" fillId="0" borderId="20" xfId="28" applyNumberFormat="1" applyFont="1" applyBorder="1" applyAlignment="1" applyProtection="1">
      <alignment horizontal="left"/>
    </xf>
    <xf numFmtId="166" fontId="11" fillId="0" borderId="20" xfId="28" applyNumberFormat="1" applyFont="1" applyBorder="1" applyProtection="1"/>
    <xf numFmtId="4" fontId="11" fillId="0" borderId="20" xfId="28" applyFont="1" applyBorder="1" applyProtection="1"/>
    <xf numFmtId="4" fontId="11" fillId="0" borderId="19" xfId="28" applyNumberFormat="1" applyFont="1" applyBorder="1" applyProtection="1"/>
    <xf numFmtId="166" fontId="14" fillId="0" borderId="25" xfId="0" applyNumberFormat="1" applyFont="1" applyBorder="1"/>
    <xf numFmtId="166" fontId="14" fillId="0" borderId="29" xfId="42" applyNumberFormat="1" applyFont="1" applyBorder="1" applyAlignment="1" applyProtection="1">
      <alignment horizontal="right"/>
    </xf>
    <xf numFmtId="166" fontId="14" fillId="0" borderId="30" xfId="42" applyNumberFormat="1" applyFont="1" applyBorder="1" applyAlignment="1" applyProtection="1">
      <alignment horizontal="right"/>
    </xf>
    <xf numFmtId="2" fontId="11" fillId="0" borderId="34" xfId="0" applyFont="1" applyBorder="1" applyAlignment="1">
      <alignment horizontal="center"/>
    </xf>
    <xf numFmtId="168" fontId="13" fillId="0" borderId="35" xfId="0" applyNumberFormat="1" applyFont="1" applyBorder="1" applyAlignment="1">
      <alignment horizontal="center"/>
    </xf>
    <xf numFmtId="164" fontId="11" fillId="0" borderId="34" xfId="29" applyNumberFormat="1" applyFont="1" applyBorder="1" applyAlignment="1" applyProtection="1">
      <alignment horizontal="centerContinuous"/>
    </xf>
    <xf numFmtId="164" fontId="11" fillId="0" borderId="36" xfId="29" applyNumberFormat="1" applyFont="1" applyBorder="1" applyAlignment="1" applyProtection="1">
      <alignment horizontal="center"/>
    </xf>
    <xf numFmtId="2" fontId="11" fillId="0" borderId="34" xfId="0" applyFont="1" applyBorder="1"/>
    <xf numFmtId="164" fontId="11" fillId="0" borderId="35" xfId="29" applyNumberFormat="1" applyFont="1" applyBorder="1" applyAlignment="1" applyProtection="1">
      <alignment horizontal="right"/>
    </xf>
    <xf numFmtId="164" fontId="11" fillId="0" borderId="37" xfId="29" applyNumberFormat="1" applyFont="1" applyBorder="1" applyAlignment="1" applyProtection="1">
      <alignment horizontal="right"/>
    </xf>
    <xf numFmtId="164" fontId="11" fillId="0" borderId="38" xfId="29" applyNumberFormat="1" applyFont="1" applyBorder="1" applyAlignment="1" applyProtection="1">
      <alignment horizontal="right"/>
    </xf>
    <xf numFmtId="164" fontId="11" fillId="0" borderId="34" xfId="29" applyNumberFormat="1" applyFont="1" applyBorder="1" applyProtection="1"/>
    <xf numFmtId="164" fontId="11" fillId="0" borderId="39" xfId="29" applyNumberFormat="1" applyFont="1" applyBorder="1" applyProtection="1"/>
    <xf numFmtId="5" fontId="11" fillId="0" borderId="35" xfId="29" applyNumberFormat="1" applyFont="1" applyBorder="1" applyProtection="1"/>
    <xf numFmtId="164" fontId="11" fillId="0" borderId="35" xfId="29" applyNumberFormat="1" applyFont="1" applyBorder="1" applyProtection="1"/>
    <xf numFmtId="164" fontId="11" fillId="0" borderId="37" xfId="29" applyNumberFormat="1" applyFont="1" applyBorder="1" applyProtection="1"/>
    <xf numFmtId="164" fontId="11" fillId="0" borderId="38" xfId="29" applyNumberFormat="1" applyFont="1" applyBorder="1" applyProtection="1"/>
    <xf numFmtId="164" fontId="11" fillId="0" borderId="34" xfId="29" applyNumberFormat="1" applyFont="1" applyBorder="1"/>
    <xf numFmtId="5" fontId="11" fillId="0" borderId="38" xfId="29" applyNumberFormat="1" applyFont="1" applyBorder="1" applyProtection="1"/>
    <xf numFmtId="164" fontId="11" fillId="0" borderId="35" xfId="29" applyNumberFormat="1" applyFont="1" applyBorder="1"/>
    <xf numFmtId="5" fontId="11" fillId="0" borderId="37" xfId="29" applyNumberFormat="1" applyFont="1" applyBorder="1" applyProtection="1"/>
    <xf numFmtId="4" fontId="11" fillId="0" borderId="35" xfId="28" applyFont="1" applyBorder="1" applyProtection="1"/>
    <xf numFmtId="164" fontId="11" fillId="0" borderId="40" xfId="29" applyNumberFormat="1" applyFont="1" applyBorder="1" applyProtection="1"/>
    <xf numFmtId="166" fontId="11" fillId="0" borderId="34" xfId="42" applyNumberFormat="1" applyFont="1" applyBorder="1" applyProtection="1"/>
    <xf numFmtId="37" fontId="11" fillId="0" borderId="35" xfId="29" applyNumberFormat="1" applyFont="1" applyBorder="1" applyProtection="1"/>
    <xf numFmtId="9" fontId="11" fillId="0" borderId="34" xfId="42" applyFont="1" applyBorder="1" applyProtection="1"/>
    <xf numFmtId="3" fontId="11" fillId="0" borderId="34" xfId="28" applyNumberFormat="1" applyFont="1" applyBorder="1" applyProtection="1"/>
    <xf numFmtId="4" fontId="11" fillId="0" borderId="35" xfId="28" applyNumberFormat="1" applyFont="1" applyBorder="1" applyProtection="1"/>
    <xf numFmtId="3" fontId="11" fillId="0" borderId="37" xfId="28" applyNumberFormat="1" applyFont="1" applyBorder="1" applyProtection="1"/>
    <xf numFmtId="3" fontId="11" fillId="0" borderId="39" xfId="28" applyNumberFormat="1" applyFont="1" applyBorder="1" applyProtection="1"/>
    <xf numFmtId="3" fontId="11" fillId="0" borderId="35" xfId="28" applyNumberFormat="1" applyFont="1" applyBorder="1" applyProtection="1"/>
    <xf numFmtId="3" fontId="11" fillId="0" borderId="38" xfId="28" applyNumberFormat="1" applyFont="1" applyBorder="1" applyProtection="1"/>
    <xf numFmtId="4" fontId="11" fillId="0" borderId="34" xfId="28" applyNumberFormat="1" applyFont="1" applyBorder="1" applyProtection="1"/>
    <xf numFmtId="3" fontId="11" fillId="0" borderId="35" xfId="28" applyNumberFormat="1" applyFont="1" applyBorder="1"/>
    <xf numFmtId="3" fontId="11" fillId="0" borderId="37" xfId="28" applyNumberFormat="1" applyFont="1" applyBorder="1"/>
    <xf numFmtId="3" fontId="11" fillId="0" borderId="40" xfId="28" applyNumberFormat="1" applyFont="1" applyBorder="1"/>
    <xf numFmtId="164" fontId="11" fillId="24" borderId="41" xfId="29" applyNumberFormat="1" applyFont="1" applyFill="1" applyBorder="1" applyAlignment="1" applyProtection="1">
      <alignment horizontal="centerContinuous"/>
    </xf>
    <xf numFmtId="166" fontId="11" fillId="24" borderId="25" xfId="42" applyNumberFormat="1" applyFont="1" applyFill="1" applyBorder="1" applyAlignment="1">
      <alignment horizontal="centerContinuous"/>
    </xf>
    <xf numFmtId="166" fontId="11" fillId="24" borderId="25" xfId="0" applyNumberFormat="1" applyFont="1" applyFill="1" applyBorder="1" applyAlignment="1">
      <alignment horizontal="centerContinuous"/>
    </xf>
    <xf numFmtId="164" fontId="11" fillId="24" borderId="42" xfId="29" applyNumberFormat="1" applyFont="1" applyFill="1" applyBorder="1" applyAlignment="1" applyProtection="1">
      <alignment horizontal="center"/>
    </xf>
    <xf numFmtId="166" fontId="11" fillId="24" borderId="26" xfId="42" applyNumberFormat="1" applyFont="1" applyFill="1" applyBorder="1" applyAlignment="1" applyProtection="1">
      <alignment horizontal="center"/>
    </xf>
    <xf numFmtId="2" fontId="11" fillId="24" borderId="41" xfId="0" applyFont="1" applyFill="1" applyBorder="1"/>
    <xf numFmtId="166" fontId="11" fillId="24" borderId="25" xfId="0" applyNumberFormat="1" applyFont="1" applyFill="1" applyBorder="1"/>
    <xf numFmtId="164" fontId="11" fillId="24" borderId="43" xfId="29" applyNumberFormat="1" applyFont="1" applyFill="1" applyBorder="1" applyAlignment="1" applyProtection="1">
      <alignment horizontal="right"/>
    </xf>
    <xf numFmtId="166" fontId="11" fillId="24" borderId="29" xfId="42" applyNumberFormat="1" applyFont="1" applyFill="1" applyBorder="1" applyAlignment="1" applyProtection="1">
      <alignment horizontal="right"/>
    </xf>
    <xf numFmtId="164" fontId="11" fillId="24" borderId="44" xfId="29" applyNumberFormat="1" applyFont="1" applyFill="1" applyBorder="1" applyAlignment="1" applyProtection="1">
      <alignment horizontal="right"/>
    </xf>
    <xf numFmtId="164" fontId="11" fillId="24" borderId="18" xfId="29" applyNumberFormat="1" applyFont="1" applyFill="1" applyBorder="1" applyAlignment="1" applyProtection="1">
      <alignment horizontal="right"/>
    </xf>
    <xf numFmtId="166" fontId="11" fillId="24" borderId="30" xfId="42" applyNumberFormat="1" applyFont="1" applyFill="1" applyBorder="1" applyAlignment="1" applyProtection="1">
      <alignment horizontal="right"/>
    </xf>
    <xf numFmtId="164" fontId="11" fillId="24" borderId="41" xfId="29" applyNumberFormat="1" applyFont="1" applyFill="1" applyBorder="1" applyProtection="1"/>
    <xf numFmtId="166" fontId="11" fillId="24" borderId="25" xfId="42" applyNumberFormat="1" applyFont="1" applyFill="1" applyBorder="1"/>
    <xf numFmtId="164" fontId="11" fillId="24" borderId="45" xfId="29" applyNumberFormat="1" applyFont="1" applyFill="1" applyBorder="1" applyProtection="1"/>
    <xf numFmtId="166" fontId="11" fillId="24" borderId="31" xfId="42" applyNumberFormat="1" applyFont="1" applyFill="1" applyBorder="1" applyProtection="1"/>
    <xf numFmtId="5" fontId="11" fillId="24" borderId="43" xfId="29" applyNumberFormat="1" applyFont="1" applyFill="1" applyBorder="1" applyProtection="1"/>
    <xf numFmtId="166" fontId="11" fillId="24" borderId="29" xfId="42" applyNumberFormat="1" applyFont="1" applyFill="1" applyBorder="1" applyProtection="1"/>
    <xf numFmtId="164" fontId="11" fillId="24" borderId="43" xfId="29" applyNumberFormat="1" applyFont="1" applyFill="1" applyBorder="1" applyProtection="1"/>
    <xf numFmtId="164" fontId="11" fillId="24" borderId="44" xfId="29" applyNumberFormat="1" applyFont="1" applyFill="1" applyBorder="1" applyProtection="1"/>
    <xf numFmtId="166" fontId="11" fillId="24" borderId="32" xfId="42" applyNumberFormat="1" applyFont="1" applyFill="1" applyBorder="1" applyProtection="1"/>
    <xf numFmtId="166" fontId="11" fillId="24" borderId="30" xfId="42" applyNumberFormat="1" applyFont="1" applyFill="1" applyBorder="1" applyProtection="1"/>
    <xf numFmtId="166" fontId="11" fillId="24" borderId="25" xfId="42" applyNumberFormat="1" applyFont="1" applyFill="1" applyBorder="1" applyProtection="1"/>
    <xf numFmtId="164" fontId="11" fillId="24" borderId="18" xfId="29" applyNumberFormat="1" applyFont="1" applyFill="1" applyBorder="1" applyProtection="1"/>
    <xf numFmtId="164" fontId="11" fillId="24" borderId="41" xfId="29" applyNumberFormat="1" applyFont="1" applyFill="1" applyBorder="1"/>
    <xf numFmtId="5" fontId="11" fillId="24" borderId="18" xfId="29" applyNumberFormat="1" applyFont="1" applyFill="1" applyBorder="1" applyProtection="1"/>
    <xf numFmtId="164" fontId="11" fillId="24" borderId="43" xfId="29" applyNumberFormat="1" applyFont="1" applyFill="1" applyBorder="1"/>
    <xf numFmtId="166" fontId="11" fillId="24" borderId="29" xfId="42" applyNumberFormat="1" applyFont="1" applyFill="1" applyBorder="1"/>
    <xf numFmtId="164" fontId="11" fillId="24" borderId="18" xfId="29" applyNumberFormat="1" applyFont="1" applyFill="1" applyBorder="1"/>
    <xf numFmtId="166" fontId="11" fillId="24" borderId="30" xfId="42" applyNumberFormat="1" applyFont="1" applyFill="1" applyBorder="1"/>
    <xf numFmtId="4" fontId="11" fillId="24" borderId="43" xfId="28" applyFont="1" applyFill="1" applyBorder="1" applyProtection="1"/>
    <xf numFmtId="166" fontId="11" fillId="24" borderId="29" xfId="28" applyNumberFormat="1" applyFont="1" applyFill="1" applyBorder="1" applyAlignment="1" applyProtection="1">
      <alignment horizontal="left"/>
    </xf>
    <xf numFmtId="164" fontId="11" fillId="24" borderId="46" xfId="29" applyNumberFormat="1" applyFont="1" applyFill="1" applyBorder="1" applyProtection="1"/>
    <xf numFmtId="166" fontId="11" fillId="24" borderId="33" xfId="42" applyNumberFormat="1" applyFont="1" applyFill="1" applyBorder="1" applyProtection="1"/>
    <xf numFmtId="166" fontId="11" fillId="24" borderId="41" xfId="42" applyNumberFormat="1" applyFont="1" applyFill="1" applyBorder="1" applyProtection="1"/>
    <xf numFmtId="166" fontId="11" fillId="24" borderId="29" xfId="28" applyNumberFormat="1" applyFont="1" applyFill="1" applyBorder="1" applyProtection="1"/>
    <xf numFmtId="9" fontId="11" fillId="24" borderId="41" xfId="42" applyFont="1" applyFill="1" applyBorder="1" applyProtection="1"/>
    <xf numFmtId="4" fontId="11" fillId="24" borderId="29" xfId="28" applyFont="1" applyFill="1" applyBorder="1" applyProtection="1"/>
    <xf numFmtId="2" fontId="11" fillId="24" borderId="25" xfId="0" applyFont="1" applyFill="1" applyBorder="1"/>
    <xf numFmtId="3" fontId="11" fillId="24" borderId="41" xfId="28" applyNumberFormat="1" applyFont="1" applyFill="1" applyBorder="1" applyProtection="1"/>
    <xf numFmtId="4" fontId="11" fillId="24" borderId="43" xfId="28" applyNumberFormat="1" applyFont="1" applyFill="1" applyBorder="1" applyProtection="1"/>
    <xf numFmtId="2" fontId="11" fillId="24" borderId="29" xfId="0" applyFont="1" applyFill="1" applyBorder="1"/>
    <xf numFmtId="3" fontId="11" fillId="24" borderId="44" xfId="28" applyNumberFormat="1" applyFont="1" applyFill="1" applyBorder="1" applyProtection="1"/>
    <xf numFmtId="2" fontId="11" fillId="24" borderId="32" xfId="0" applyFont="1" applyFill="1" applyBorder="1"/>
    <xf numFmtId="3" fontId="11" fillId="24" borderId="45" xfId="28" applyNumberFormat="1" applyFont="1" applyFill="1" applyBorder="1" applyProtection="1"/>
    <xf numFmtId="2" fontId="11" fillId="24" borderId="31" xfId="0" applyFont="1" applyFill="1" applyBorder="1"/>
    <xf numFmtId="3" fontId="11" fillId="24" borderId="43" xfId="28" applyNumberFormat="1" applyFont="1" applyFill="1" applyBorder="1" applyProtection="1"/>
    <xf numFmtId="3" fontId="11" fillId="24" borderId="18" xfId="28" applyNumberFormat="1" applyFont="1" applyFill="1" applyBorder="1" applyProtection="1"/>
    <xf numFmtId="2" fontId="11" fillId="24" borderId="30" xfId="0" applyFont="1" applyFill="1" applyBorder="1"/>
    <xf numFmtId="4" fontId="11" fillId="24" borderId="41" xfId="28" applyNumberFormat="1" applyFont="1" applyFill="1" applyBorder="1" applyProtection="1"/>
    <xf numFmtId="3" fontId="11" fillId="24" borderId="43" xfId="28" applyNumberFormat="1" applyFont="1" applyFill="1" applyBorder="1"/>
    <xf numFmtId="3" fontId="11" fillId="24" borderId="44" xfId="28" applyNumberFormat="1" applyFont="1" applyFill="1" applyBorder="1"/>
    <xf numFmtId="3" fontId="11" fillId="24" borderId="46" xfId="28" applyNumberFormat="1" applyFont="1" applyFill="1" applyBorder="1"/>
    <xf numFmtId="2" fontId="11" fillId="24" borderId="33" xfId="0" applyFont="1" applyFill="1" applyBorder="1"/>
    <xf numFmtId="5" fontId="11" fillId="24" borderId="44" xfId="29" applyNumberFormat="1" applyFont="1" applyFill="1" applyBorder="1" applyProtection="1"/>
    <xf numFmtId="37" fontId="11" fillId="24" borderId="43" xfId="29" applyNumberFormat="1" applyFont="1" applyFill="1" applyBorder="1" applyProtection="1"/>
    <xf numFmtId="3" fontId="14" fillId="24" borderId="41" xfId="28" applyNumberFormat="1" applyFont="1" applyFill="1" applyBorder="1" applyProtection="1"/>
    <xf numFmtId="2" fontId="17" fillId="24" borderId="41" xfId="0" applyFont="1" applyFill="1" applyBorder="1" applyAlignment="1">
      <alignment horizontal="centerContinuous"/>
    </xf>
    <xf numFmtId="2" fontId="17" fillId="0" borderId="34" xfId="0" applyFont="1" applyBorder="1" applyAlignment="1">
      <alignment horizontal="centerContinuous"/>
    </xf>
    <xf numFmtId="166" fontId="11" fillId="0" borderId="26" xfId="42" applyNumberFormat="1" applyFont="1" applyBorder="1" applyAlignment="1" applyProtection="1">
      <alignment horizontal="center"/>
    </xf>
    <xf numFmtId="166" fontId="11" fillId="0" borderId="29" xfId="42" applyNumberFormat="1" applyFont="1" applyBorder="1" applyAlignment="1" applyProtection="1">
      <alignment horizontal="right"/>
    </xf>
    <xf numFmtId="166" fontId="11" fillId="0" borderId="30" xfId="42" applyNumberFormat="1" applyFont="1" applyBorder="1" applyAlignment="1" applyProtection="1">
      <alignment horizontal="right"/>
    </xf>
    <xf numFmtId="166" fontId="11" fillId="0" borderId="25" xfId="42" applyNumberFormat="1" applyFont="1" applyBorder="1"/>
    <xf numFmtId="166" fontId="11" fillId="0" borderId="31" xfId="42" applyNumberFormat="1" applyFont="1" applyBorder="1" applyProtection="1"/>
    <xf numFmtId="166" fontId="11" fillId="0" borderId="29" xfId="42" applyNumberFormat="1" applyFont="1" applyBorder="1" applyProtection="1"/>
    <xf numFmtId="166" fontId="11" fillId="0" borderId="32" xfId="42" applyNumberFormat="1" applyFont="1" applyBorder="1" applyProtection="1"/>
    <xf numFmtId="166" fontId="11" fillId="0" borderId="30" xfId="42" applyNumberFormat="1" applyFont="1" applyBorder="1" applyProtection="1"/>
    <xf numFmtId="166" fontId="11" fillId="0" borderId="25" xfId="42" applyNumberFormat="1" applyFont="1" applyBorder="1" applyProtection="1"/>
    <xf numFmtId="166" fontId="11" fillId="0" borderId="29" xfId="42" applyNumberFormat="1" applyFont="1" applyBorder="1"/>
    <xf numFmtId="166" fontId="11" fillId="0" borderId="30" xfId="42" applyNumberFormat="1" applyFont="1" applyBorder="1"/>
    <xf numFmtId="5" fontId="11" fillId="0" borderId="34" xfId="29" applyNumberFormat="1" applyFont="1" applyBorder="1"/>
    <xf numFmtId="166" fontId="11" fillId="0" borderId="29" xfId="28" applyNumberFormat="1" applyFont="1" applyBorder="1" applyAlignment="1" applyProtection="1">
      <alignment horizontal="left"/>
    </xf>
    <xf numFmtId="166" fontId="11" fillId="0" borderId="33" xfId="42" applyNumberFormat="1" applyFont="1" applyBorder="1" applyProtection="1"/>
    <xf numFmtId="166" fontId="11" fillId="0" borderId="29" xfId="28" applyNumberFormat="1" applyFont="1" applyBorder="1" applyProtection="1"/>
    <xf numFmtId="4" fontId="11" fillId="0" borderId="29" xfId="28" applyFont="1" applyBorder="1" applyProtection="1"/>
    <xf numFmtId="2" fontId="11" fillId="0" borderId="25" xfId="0" applyFont="1" applyBorder="1"/>
    <xf numFmtId="2" fontId="11" fillId="0" borderId="29" xfId="0" applyFont="1" applyBorder="1"/>
    <xf numFmtId="2" fontId="11" fillId="0" borderId="32" xfId="0" applyFont="1" applyBorder="1"/>
    <xf numFmtId="2" fontId="11" fillId="0" borderId="31" xfId="0" applyFont="1" applyBorder="1"/>
    <xf numFmtId="2" fontId="11" fillId="0" borderId="30" xfId="0" applyFont="1" applyBorder="1"/>
    <xf numFmtId="2" fontId="11" fillId="0" borderId="33" xfId="0" applyFont="1" applyBorder="1"/>
    <xf numFmtId="2" fontId="12" fillId="0" borderId="0" xfId="0" applyFont="1" applyFill="1" applyBorder="1"/>
    <xf numFmtId="2" fontId="0" fillId="0" borderId="0" xfId="0" applyFill="1"/>
    <xf numFmtId="164" fontId="14" fillId="0" borderId="34" xfId="29" applyNumberFormat="1" applyFont="1" applyFill="1" applyBorder="1" applyAlignment="1" applyProtection="1">
      <alignment horizontal="centerContinuous"/>
    </xf>
    <xf numFmtId="166" fontId="14" fillId="0" borderId="25" xfId="42" applyNumberFormat="1" applyFont="1" applyFill="1" applyBorder="1" applyAlignment="1">
      <alignment horizontal="centerContinuous"/>
    </xf>
    <xf numFmtId="2" fontId="16" fillId="0" borderId="34" xfId="0" applyFont="1" applyFill="1" applyBorder="1" applyAlignment="1">
      <alignment horizontal="centerContinuous"/>
    </xf>
    <xf numFmtId="166" fontId="14" fillId="0" borderId="25" xfId="0" applyNumberFormat="1" applyFont="1" applyFill="1" applyBorder="1" applyAlignment="1">
      <alignment horizontal="centerContinuous"/>
    </xf>
    <xf numFmtId="164" fontId="14" fillId="0" borderId="36" xfId="29" applyNumberFormat="1" applyFont="1" applyFill="1" applyBorder="1" applyAlignment="1" applyProtection="1">
      <alignment horizontal="center"/>
    </xf>
    <xf numFmtId="166" fontId="14" fillId="0" borderId="26" xfId="42" applyNumberFormat="1" applyFont="1" applyFill="1" applyBorder="1" applyAlignment="1" applyProtection="1">
      <alignment horizontal="center"/>
    </xf>
    <xf numFmtId="2" fontId="14" fillId="0" borderId="34" xfId="0" applyFont="1" applyFill="1" applyBorder="1"/>
    <xf numFmtId="166" fontId="14" fillId="0" borderId="25" xfId="0" applyNumberFormat="1" applyFont="1" applyFill="1" applyBorder="1"/>
    <xf numFmtId="164" fontId="14" fillId="0" borderId="35" xfId="29" applyNumberFormat="1" applyFont="1" applyFill="1" applyBorder="1" applyAlignment="1" applyProtection="1">
      <alignment horizontal="right"/>
    </xf>
    <xf numFmtId="164" fontId="14" fillId="0" borderId="37" xfId="29" applyNumberFormat="1" applyFont="1" applyFill="1" applyBorder="1" applyAlignment="1" applyProtection="1">
      <alignment horizontal="right"/>
    </xf>
    <xf numFmtId="164" fontId="14" fillId="0" borderId="38" xfId="29" applyNumberFormat="1" applyFont="1" applyFill="1" applyBorder="1" applyAlignment="1" applyProtection="1">
      <alignment horizontal="right"/>
    </xf>
    <xf numFmtId="164" fontId="14" fillId="0" borderId="34" xfId="29" applyNumberFormat="1" applyFont="1" applyFill="1" applyBorder="1" applyProtection="1"/>
    <xf numFmtId="166" fontId="14" fillId="0" borderId="25" xfId="42" applyNumberFormat="1" applyFont="1" applyFill="1" applyBorder="1"/>
    <xf numFmtId="164" fontId="14" fillId="0" borderId="35" xfId="29" applyNumberFormat="1" applyFont="1" applyFill="1" applyBorder="1" applyProtection="1"/>
    <xf numFmtId="166" fontId="14" fillId="0" borderId="29" xfId="42" applyNumberFormat="1" applyFont="1" applyFill="1" applyBorder="1" applyProtection="1"/>
    <xf numFmtId="5" fontId="14" fillId="0" borderId="35" xfId="29" applyNumberFormat="1" applyFont="1" applyFill="1" applyBorder="1" applyProtection="1"/>
    <xf numFmtId="164" fontId="14" fillId="0" borderId="37" xfId="29" applyNumberFormat="1" applyFont="1" applyFill="1" applyBorder="1" applyProtection="1"/>
    <xf numFmtId="166" fontId="14" fillId="0" borderId="32" xfId="42" applyNumberFormat="1" applyFont="1" applyFill="1" applyBorder="1" applyProtection="1"/>
    <xf numFmtId="166" fontId="14" fillId="0" borderId="30" xfId="42" applyNumberFormat="1" applyFont="1" applyFill="1" applyBorder="1" applyProtection="1"/>
    <xf numFmtId="166" fontId="14" fillId="0" borderId="25" xfId="42" applyNumberFormat="1" applyFont="1" applyFill="1" applyBorder="1" applyProtection="1"/>
    <xf numFmtId="164" fontId="14" fillId="0" borderId="38" xfId="29" applyNumberFormat="1" applyFont="1" applyFill="1" applyBorder="1" applyProtection="1"/>
    <xf numFmtId="164" fontId="14" fillId="0" borderId="34" xfId="29" applyNumberFormat="1" applyFont="1" applyFill="1" applyBorder="1"/>
    <xf numFmtId="5" fontId="14" fillId="0" borderId="38" xfId="29" applyNumberFormat="1" applyFont="1" applyFill="1" applyBorder="1" applyProtection="1"/>
    <xf numFmtId="164" fontId="14" fillId="0" borderId="35" xfId="29" applyNumberFormat="1" applyFont="1" applyFill="1" applyBorder="1"/>
    <xf numFmtId="166" fontId="14" fillId="0" borderId="29" xfId="42" applyNumberFormat="1" applyFont="1" applyFill="1" applyBorder="1"/>
    <xf numFmtId="164" fontId="14" fillId="0" borderId="39" xfId="29" applyNumberFormat="1" applyFont="1" applyFill="1" applyBorder="1" applyProtection="1"/>
    <xf numFmtId="166" fontId="14" fillId="0" borderId="31" xfId="42" applyNumberFormat="1" applyFont="1" applyFill="1" applyBorder="1" applyProtection="1"/>
    <xf numFmtId="166" fontId="14" fillId="0" borderId="30" xfId="42" applyNumberFormat="1" applyFont="1" applyFill="1" applyBorder="1"/>
    <xf numFmtId="5" fontId="14" fillId="0" borderId="40" xfId="29" applyNumberFormat="1" applyFont="1" applyFill="1" applyBorder="1"/>
    <xf numFmtId="166" fontId="14" fillId="0" borderId="33" xfId="42" applyNumberFormat="1" applyFont="1" applyFill="1" applyBorder="1"/>
    <xf numFmtId="5" fontId="14" fillId="0" borderId="34" xfId="29" applyNumberFormat="1" applyFont="1" applyFill="1" applyBorder="1"/>
    <xf numFmtId="4" fontId="14" fillId="0" borderId="35" xfId="28" applyFont="1" applyFill="1" applyBorder="1" applyProtection="1"/>
    <xf numFmtId="166" fontId="14" fillId="0" borderId="29" xfId="28" applyNumberFormat="1" applyFont="1" applyFill="1" applyBorder="1" applyAlignment="1" applyProtection="1">
      <alignment horizontal="left"/>
    </xf>
    <xf numFmtId="164" fontId="14" fillId="0" borderId="40" xfId="29" applyNumberFormat="1" applyFont="1" applyFill="1" applyBorder="1" applyProtection="1"/>
    <xf numFmtId="166" fontId="14" fillId="0" borderId="33" xfId="42" applyNumberFormat="1" applyFont="1" applyFill="1" applyBorder="1" applyProtection="1"/>
    <xf numFmtId="166" fontId="14" fillId="0" borderId="34" xfId="42" applyNumberFormat="1" applyFont="1" applyFill="1" applyBorder="1" applyProtection="1"/>
    <xf numFmtId="166" fontId="14" fillId="0" borderId="29" xfId="28" applyNumberFormat="1" applyFont="1" applyFill="1" applyBorder="1" applyProtection="1"/>
    <xf numFmtId="9" fontId="14" fillId="0" borderId="34" xfId="42" applyFont="1" applyFill="1" applyBorder="1" applyProtection="1"/>
    <xf numFmtId="4" fontId="14" fillId="0" borderId="29" xfId="28" applyFont="1" applyFill="1" applyBorder="1" applyProtection="1"/>
    <xf numFmtId="2" fontId="14" fillId="0" borderId="25" xfId="0" applyFont="1" applyFill="1" applyBorder="1"/>
    <xf numFmtId="3" fontId="14" fillId="0" borderId="34" xfId="28" applyNumberFormat="1" applyFont="1" applyFill="1" applyBorder="1" applyProtection="1"/>
    <xf numFmtId="4" fontId="14" fillId="0" borderId="35" xfId="28" applyNumberFormat="1" applyFont="1" applyFill="1" applyBorder="1" applyProtection="1"/>
    <xf numFmtId="2" fontId="14" fillId="0" borderId="29" xfId="0" applyFont="1" applyFill="1" applyBorder="1"/>
    <xf numFmtId="3" fontId="14" fillId="0" borderId="35" xfId="28" applyNumberFormat="1" applyFont="1" applyFill="1" applyBorder="1" applyProtection="1"/>
    <xf numFmtId="3" fontId="14" fillId="0" borderId="39" xfId="28" applyNumberFormat="1" applyFont="1" applyFill="1" applyBorder="1" applyProtection="1"/>
    <xf numFmtId="2" fontId="14" fillId="0" borderId="31" xfId="0" applyFont="1" applyFill="1" applyBorder="1"/>
    <xf numFmtId="3" fontId="14" fillId="0" borderId="37" xfId="28" applyNumberFormat="1" applyFont="1" applyFill="1" applyBorder="1" applyProtection="1"/>
    <xf numFmtId="2" fontId="14" fillId="0" borderId="32" xfId="0" applyFont="1" applyFill="1" applyBorder="1"/>
    <xf numFmtId="3" fontId="14" fillId="0" borderId="38" xfId="28" applyNumberFormat="1" applyFont="1" applyFill="1" applyBorder="1" applyProtection="1"/>
    <xf numFmtId="2" fontId="14" fillId="0" borderId="30" xfId="0" applyFont="1" applyFill="1" applyBorder="1"/>
    <xf numFmtId="4" fontId="14" fillId="0" borderId="34" xfId="28" applyNumberFormat="1" applyFont="1" applyFill="1" applyBorder="1" applyProtection="1"/>
    <xf numFmtId="3" fontId="14" fillId="0" borderId="35" xfId="28" applyNumberFormat="1" applyFont="1" applyFill="1" applyBorder="1"/>
    <xf numFmtId="3" fontId="14" fillId="0" borderId="37" xfId="28" applyNumberFormat="1" applyFont="1" applyFill="1" applyBorder="1"/>
    <xf numFmtId="3" fontId="14" fillId="0" borderId="40" xfId="28" applyNumberFormat="1" applyFont="1" applyFill="1" applyBorder="1"/>
    <xf numFmtId="2" fontId="14" fillId="0" borderId="33" xfId="0" applyFont="1" applyFill="1" applyBorder="1"/>
    <xf numFmtId="4" fontId="11" fillId="0" borderId="21" xfId="28" applyFont="1" applyBorder="1" applyProtection="1"/>
    <xf numFmtId="4" fontId="11" fillId="24" borderId="44" xfId="28" applyFont="1" applyFill="1" applyBorder="1" applyProtection="1"/>
    <xf numFmtId="4" fontId="11" fillId="0" borderId="37" xfId="28" applyFont="1" applyBorder="1" applyProtection="1"/>
    <xf numFmtId="4" fontId="14" fillId="0" borderId="37" xfId="28" applyFont="1" applyFill="1" applyBorder="1" applyProtection="1"/>
    <xf numFmtId="5" fontId="11" fillId="0" borderId="10" xfId="29" applyNumberFormat="1" applyFont="1" applyBorder="1"/>
    <xf numFmtId="5" fontId="11" fillId="24" borderId="41" xfId="29" applyNumberFormat="1" applyFont="1" applyFill="1" applyBorder="1"/>
    <xf numFmtId="168" fontId="14" fillId="0" borderId="30" xfId="0" applyNumberFormat="1" applyFont="1" applyBorder="1" applyAlignment="1">
      <alignment horizontal="left"/>
    </xf>
    <xf numFmtId="5" fontId="11" fillId="0" borderId="52" xfId="29" applyNumberFormat="1" applyFont="1" applyBorder="1"/>
    <xf numFmtId="166" fontId="11" fillId="0" borderId="52" xfId="42" applyNumberFormat="1" applyFont="1" applyBorder="1"/>
    <xf numFmtId="5" fontId="11" fillId="24" borderId="52" xfId="29" applyNumberFormat="1" applyFont="1" applyFill="1" applyBorder="1"/>
    <xf numFmtId="166" fontId="11" fillId="24" borderId="52" xfId="42" applyNumberFormat="1" applyFont="1" applyFill="1" applyBorder="1"/>
    <xf numFmtId="168" fontId="14" fillId="0" borderId="33" xfId="0" applyNumberFormat="1" applyFont="1" applyBorder="1" applyAlignment="1">
      <alignment horizontal="left"/>
    </xf>
    <xf numFmtId="5" fontId="11" fillId="0" borderId="53" xfId="29" applyNumberFormat="1" applyFont="1" applyBorder="1"/>
    <xf numFmtId="166" fontId="11" fillId="0" borderId="53" xfId="42" applyNumberFormat="1" applyFont="1" applyBorder="1"/>
    <xf numFmtId="5" fontId="11" fillId="24" borderId="53" xfId="29" applyNumberFormat="1" applyFont="1" applyFill="1" applyBorder="1"/>
    <xf numFmtId="166" fontId="11" fillId="24" borderId="53" xfId="42" applyNumberFormat="1" applyFont="1" applyFill="1" applyBorder="1"/>
    <xf numFmtId="49" fontId="14" fillId="0" borderId="12" xfId="0" applyNumberFormat="1" applyFont="1" applyBorder="1" applyAlignment="1">
      <alignment horizontal="center"/>
    </xf>
    <xf numFmtId="168" fontId="13" fillId="0" borderId="54" xfId="28" applyNumberFormat="1" applyFont="1" applyBorder="1" applyAlignment="1">
      <alignment horizontal="center"/>
    </xf>
    <xf numFmtId="168" fontId="13" fillId="0" borderId="38" xfId="28" applyNumberFormat="1" applyFont="1" applyBorder="1" applyAlignment="1">
      <alignment horizontal="center"/>
    </xf>
    <xf numFmtId="168" fontId="13" fillId="0" borderId="0" xfId="28" applyNumberFormat="1" applyFont="1" applyBorder="1" applyAlignment="1">
      <alignment horizontal="center"/>
    </xf>
    <xf numFmtId="168" fontId="13" fillId="0" borderId="40" xfId="28" applyNumberFormat="1" applyFont="1" applyBorder="1" applyAlignment="1">
      <alignment horizontal="center"/>
    </xf>
    <xf numFmtId="49" fontId="13" fillId="0" borderId="21" xfId="28" applyNumberFormat="1" applyFont="1" applyBorder="1" applyAlignment="1">
      <alignment horizontal="center"/>
    </xf>
    <xf numFmtId="49" fontId="13" fillId="0" borderId="22" xfId="28" applyNumberFormat="1" applyFont="1" applyBorder="1" applyAlignment="1">
      <alignment horizontal="center"/>
    </xf>
    <xf numFmtId="5" fontId="11" fillId="0" borderId="22" xfId="29" applyNumberFormat="1" applyFont="1" applyBorder="1" applyAlignment="1" applyProtection="1">
      <alignment horizontal="right"/>
    </xf>
    <xf numFmtId="5" fontId="11" fillId="24" borderId="45" xfId="29" applyNumberFormat="1" applyFont="1" applyFill="1" applyBorder="1" applyAlignment="1" applyProtection="1">
      <alignment horizontal="right"/>
    </xf>
    <xf numFmtId="5" fontId="11" fillId="0" borderId="39" xfId="29" applyNumberFormat="1" applyFont="1" applyBorder="1" applyAlignment="1" applyProtection="1">
      <alignment horizontal="right"/>
    </xf>
    <xf numFmtId="5" fontId="14" fillId="0" borderId="39" xfId="29" applyNumberFormat="1" applyFont="1" applyFill="1" applyBorder="1" applyAlignment="1" applyProtection="1">
      <alignment horizontal="right"/>
    </xf>
    <xf numFmtId="168" fontId="13" fillId="0" borderId="56" xfId="28" applyNumberFormat="1" applyFont="1" applyBorder="1" applyAlignment="1">
      <alignment horizontal="center"/>
    </xf>
    <xf numFmtId="49" fontId="13" fillId="0" borderId="14" xfId="28" applyNumberFormat="1" applyFont="1" applyBorder="1" applyAlignment="1">
      <alignment horizontal="center"/>
    </xf>
    <xf numFmtId="166" fontId="11" fillId="24" borderId="20" xfId="42" applyNumberFormat="1" applyFont="1" applyFill="1" applyBorder="1" applyAlignment="1" applyProtection="1">
      <alignment horizontal="right"/>
    </xf>
    <xf numFmtId="166" fontId="11" fillId="24" borderId="15" xfId="42" applyNumberFormat="1" applyFont="1" applyFill="1" applyBorder="1" applyAlignment="1" applyProtection="1">
      <alignment horizontal="right"/>
    </xf>
    <xf numFmtId="166" fontId="11" fillId="0" borderId="57" xfId="42" applyNumberFormat="1" applyFont="1" applyBorder="1"/>
    <xf numFmtId="166" fontId="11" fillId="0" borderId="58" xfId="42" applyNumberFormat="1" applyFont="1" applyBorder="1"/>
    <xf numFmtId="164" fontId="11" fillId="0" borderId="41" xfId="29" applyNumberFormat="1" applyFont="1" applyBorder="1" applyAlignment="1" applyProtection="1">
      <alignment horizontal="centerContinuous"/>
    </xf>
    <xf numFmtId="166" fontId="11" fillId="0" borderId="25" xfId="42" applyNumberFormat="1" applyFont="1" applyBorder="1" applyAlignment="1">
      <alignment horizontal="centerContinuous"/>
    </xf>
    <xf numFmtId="2" fontId="17" fillId="0" borderId="41" xfId="0" applyFont="1" applyBorder="1" applyAlignment="1">
      <alignment horizontal="centerContinuous"/>
    </xf>
    <xf numFmtId="166" fontId="11" fillId="0" borderId="25" xfId="0" applyNumberFormat="1" applyFont="1" applyBorder="1" applyAlignment="1">
      <alignment horizontal="centerContinuous"/>
    </xf>
    <xf numFmtId="164" fontId="11" fillId="0" borderId="42" xfId="29" applyNumberFormat="1" applyFont="1" applyBorder="1" applyAlignment="1" applyProtection="1">
      <alignment horizontal="center"/>
    </xf>
    <xf numFmtId="2" fontId="14" fillId="0" borderId="41" xfId="0" applyFont="1" applyBorder="1"/>
    <xf numFmtId="164" fontId="11" fillId="0" borderId="43" xfId="29" applyNumberFormat="1" applyFont="1" applyBorder="1" applyAlignment="1" applyProtection="1">
      <alignment horizontal="right"/>
    </xf>
    <xf numFmtId="164" fontId="11" fillId="0" borderId="44" xfId="29" applyNumberFormat="1" applyFont="1" applyBorder="1" applyAlignment="1" applyProtection="1">
      <alignment horizontal="right"/>
    </xf>
    <xf numFmtId="164" fontId="11" fillId="0" borderId="18" xfId="29" applyNumberFormat="1" applyFont="1" applyBorder="1" applyAlignment="1" applyProtection="1">
      <alignment horizontal="right"/>
    </xf>
    <xf numFmtId="5" fontId="11" fillId="0" borderId="45" xfId="29" applyNumberFormat="1" applyFont="1" applyBorder="1" applyAlignment="1" applyProtection="1">
      <alignment horizontal="right"/>
    </xf>
    <xf numFmtId="164" fontId="11" fillId="0" borderId="41" xfId="29" applyNumberFormat="1" applyFont="1" applyBorder="1" applyProtection="1"/>
    <xf numFmtId="164" fontId="11" fillId="0" borderId="43" xfId="29" applyNumberFormat="1" applyFont="1" applyBorder="1" applyProtection="1"/>
    <xf numFmtId="5" fontId="11" fillId="0" borderId="43" xfId="29" applyNumberFormat="1" applyFont="1" applyBorder="1" applyProtection="1"/>
    <xf numFmtId="164" fontId="11" fillId="0" borderId="44" xfId="29" applyNumberFormat="1" applyFont="1" applyBorder="1" applyProtection="1"/>
    <xf numFmtId="164" fontId="11" fillId="0" borderId="18" xfId="29" applyNumberFormat="1" applyFont="1" applyBorder="1" applyProtection="1"/>
    <xf numFmtId="164" fontId="11" fillId="0" borderId="41" xfId="29" applyNumberFormat="1" applyFont="1" applyBorder="1"/>
    <xf numFmtId="5" fontId="11" fillId="0" borderId="18" xfId="29" applyNumberFormat="1" applyFont="1" applyBorder="1" applyProtection="1"/>
    <xf numFmtId="164" fontId="11" fillId="0" borderId="43" xfId="29" applyNumberFormat="1" applyFont="1" applyBorder="1"/>
    <xf numFmtId="164" fontId="11" fillId="0" borderId="45" xfId="29" applyNumberFormat="1" applyFont="1" applyBorder="1" applyProtection="1"/>
    <xf numFmtId="5" fontId="11" fillId="0" borderId="41" xfId="29" applyNumberFormat="1" applyFont="1" applyBorder="1"/>
    <xf numFmtId="4" fontId="11" fillId="0" borderId="43" xfId="28" applyFont="1" applyBorder="1" applyProtection="1"/>
    <xf numFmtId="164" fontId="11" fillId="0" borderId="46" xfId="29" applyNumberFormat="1" applyFont="1" applyBorder="1" applyProtection="1"/>
    <xf numFmtId="166" fontId="11" fillId="0" borderId="41" xfId="42" applyNumberFormat="1" applyFont="1" applyBorder="1" applyProtection="1"/>
    <xf numFmtId="9" fontId="11" fillId="0" borderId="41" xfId="42" applyFont="1" applyBorder="1" applyProtection="1"/>
    <xf numFmtId="4" fontId="11" fillId="0" borderId="44" xfId="28" applyFont="1" applyBorder="1" applyProtection="1"/>
    <xf numFmtId="3" fontId="11" fillId="0" borderId="41" xfId="28" applyNumberFormat="1" applyFont="1" applyBorder="1" applyProtection="1"/>
    <xf numFmtId="4" fontId="11" fillId="0" borderId="43" xfId="28" applyNumberFormat="1" applyFont="1" applyBorder="1" applyProtection="1"/>
    <xf numFmtId="3" fontId="11" fillId="0" borderId="43" xfId="28" applyNumberFormat="1" applyFont="1" applyBorder="1" applyProtection="1"/>
    <xf numFmtId="3" fontId="11" fillId="0" borderId="45" xfId="28" applyNumberFormat="1" applyFont="1" applyBorder="1" applyProtection="1"/>
    <xf numFmtId="3" fontId="11" fillId="0" borderId="44" xfId="28" applyNumberFormat="1" applyFont="1" applyBorder="1" applyProtection="1"/>
    <xf numFmtId="4" fontId="11" fillId="0" borderId="41" xfId="28" applyNumberFormat="1" applyFont="1" applyBorder="1" applyProtection="1"/>
    <xf numFmtId="3" fontId="11" fillId="0" borderId="43" xfId="28" applyNumberFormat="1" applyFont="1" applyBorder="1"/>
    <xf numFmtId="3" fontId="11" fillId="0" borderId="44" xfId="28" applyNumberFormat="1" applyFont="1" applyBorder="1"/>
    <xf numFmtId="3" fontId="11" fillId="0" borderId="46" xfId="28" applyNumberFormat="1" applyFont="1" applyBorder="1"/>
    <xf numFmtId="5" fontId="11" fillId="0" borderId="10" xfId="29" applyNumberFormat="1" applyFont="1" applyBorder="1" applyAlignment="1" applyProtection="1">
      <alignment horizontal="right"/>
    </xf>
    <xf numFmtId="166" fontId="11" fillId="0" borderId="11" xfId="42" applyNumberFormat="1" applyFont="1" applyBorder="1" applyAlignment="1" applyProtection="1">
      <alignment horizontal="right"/>
    </xf>
    <xf numFmtId="5" fontId="11" fillId="24" borderId="41" xfId="29" applyNumberFormat="1" applyFont="1" applyFill="1" applyBorder="1" applyAlignment="1" applyProtection="1">
      <alignment horizontal="right"/>
    </xf>
    <xf numFmtId="166" fontId="11" fillId="24" borderId="11" xfId="42" applyNumberFormat="1" applyFont="1" applyFill="1" applyBorder="1" applyAlignment="1" applyProtection="1">
      <alignment horizontal="right"/>
    </xf>
    <xf numFmtId="5" fontId="11" fillId="0" borderId="34" xfId="29" applyNumberFormat="1" applyFont="1" applyBorder="1" applyAlignment="1" applyProtection="1">
      <alignment horizontal="right"/>
    </xf>
    <xf numFmtId="166" fontId="11" fillId="24" borderId="25" xfId="42" applyNumberFormat="1" applyFont="1" applyFill="1" applyBorder="1" applyAlignment="1" applyProtection="1">
      <alignment horizontal="right"/>
    </xf>
    <xf numFmtId="5" fontId="11" fillId="0" borderId="41" xfId="29" applyNumberFormat="1" applyFont="1" applyBorder="1" applyAlignment="1" applyProtection="1">
      <alignment horizontal="right"/>
    </xf>
    <xf numFmtId="166" fontId="11" fillId="0" borderId="25" xfId="42" applyNumberFormat="1" applyFont="1" applyBorder="1" applyAlignment="1" applyProtection="1">
      <alignment horizontal="right"/>
    </xf>
    <xf numFmtId="5" fontId="14" fillId="0" borderId="34" xfId="29" applyNumberFormat="1" applyFont="1" applyFill="1" applyBorder="1" applyAlignment="1" applyProtection="1">
      <alignment horizontal="right"/>
    </xf>
    <xf numFmtId="166" fontId="14" fillId="0" borderId="25" xfId="42" applyNumberFormat="1" applyFont="1" applyBorder="1" applyAlignment="1" applyProtection="1">
      <alignment horizontal="right"/>
    </xf>
    <xf numFmtId="5" fontId="14" fillId="0" borderId="35" xfId="29" applyNumberFormat="1" applyFont="1" applyFill="1" applyBorder="1"/>
    <xf numFmtId="5" fontId="14" fillId="0" borderId="56" xfId="29" applyNumberFormat="1" applyFont="1" applyFill="1" applyBorder="1"/>
    <xf numFmtId="5" fontId="14" fillId="0" borderId="59" xfId="29" applyNumberFormat="1" applyFont="1" applyFill="1" applyBorder="1"/>
    <xf numFmtId="37" fontId="14" fillId="0" borderId="35" xfId="29" applyNumberFormat="1" applyFont="1" applyFill="1" applyBorder="1" applyProtection="1"/>
    <xf numFmtId="164" fontId="14" fillId="0" borderId="60" xfId="29" applyNumberFormat="1" applyFont="1" applyFill="1" applyBorder="1" applyAlignment="1" applyProtection="1">
      <alignment horizontal="centerContinuous"/>
    </xf>
    <xf numFmtId="2" fontId="16" fillId="0" borderId="60" xfId="0" applyFont="1" applyFill="1" applyBorder="1" applyAlignment="1">
      <alignment horizontal="centerContinuous"/>
    </xf>
    <xf numFmtId="164" fontId="14" fillId="0" borderId="61" xfId="29" applyNumberFormat="1" applyFont="1" applyFill="1" applyBorder="1" applyAlignment="1" applyProtection="1">
      <alignment horizontal="center"/>
    </xf>
    <xf numFmtId="2" fontId="14" fillId="0" borderId="60" xfId="0" applyFont="1" applyFill="1" applyBorder="1"/>
    <xf numFmtId="164" fontId="14" fillId="0" borderId="62" xfId="29" applyNumberFormat="1" applyFont="1" applyFill="1" applyBorder="1" applyAlignment="1" applyProtection="1">
      <alignment horizontal="right"/>
    </xf>
    <xf numFmtId="166" fontId="11" fillId="0" borderId="29" xfId="42" applyNumberFormat="1" applyFont="1" applyFill="1" applyBorder="1" applyAlignment="1" applyProtection="1">
      <alignment horizontal="right"/>
    </xf>
    <xf numFmtId="164" fontId="14" fillId="0" borderId="63" xfId="29" applyNumberFormat="1" applyFont="1" applyFill="1" applyBorder="1" applyAlignment="1" applyProtection="1">
      <alignment horizontal="right"/>
    </xf>
    <xf numFmtId="164" fontId="14" fillId="0" borderId="64" xfId="29" applyNumberFormat="1" applyFont="1" applyFill="1" applyBorder="1" applyAlignment="1" applyProtection="1">
      <alignment horizontal="right"/>
    </xf>
    <xf numFmtId="166" fontId="11" fillId="0" borderId="30" xfId="42" applyNumberFormat="1" applyFont="1" applyFill="1" applyBorder="1" applyAlignment="1" applyProtection="1">
      <alignment horizontal="right"/>
    </xf>
    <xf numFmtId="5" fontId="14" fillId="0" borderId="65" xfId="29" applyNumberFormat="1" applyFont="1" applyFill="1" applyBorder="1" applyAlignment="1" applyProtection="1">
      <alignment horizontal="right"/>
    </xf>
    <xf numFmtId="5" fontId="14" fillId="0" borderId="60" xfId="29" applyNumberFormat="1" applyFont="1" applyFill="1" applyBorder="1" applyAlignment="1" applyProtection="1">
      <alignment horizontal="right"/>
    </xf>
    <xf numFmtId="166" fontId="11" fillId="0" borderId="25" xfId="42" applyNumberFormat="1" applyFont="1" applyFill="1" applyBorder="1" applyAlignment="1" applyProtection="1">
      <alignment horizontal="right"/>
    </xf>
    <xf numFmtId="164" fontId="14" fillId="0" borderId="60" xfId="29" applyNumberFormat="1" applyFont="1" applyFill="1" applyBorder="1" applyProtection="1"/>
    <xf numFmtId="164" fontId="14" fillId="0" borderId="62" xfId="29" applyNumberFormat="1" applyFont="1" applyFill="1" applyBorder="1" applyProtection="1"/>
    <xf numFmtId="5" fontId="14" fillId="0" borderId="62" xfId="29" applyNumberFormat="1" applyFont="1" applyFill="1" applyBorder="1" applyProtection="1"/>
    <xf numFmtId="164" fontId="14" fillId="0" borderId="63" xfId="29" applyNumberFormat="1" applyFont="1" applyFill="1" applyBorder="1" applyProtection="1"/>
    <xf numFmtId="164" fontId="14" fillId="0" borderId="64" xfId="29" applyNumberFormat="1" applyFont="1" applyFill="1" applyBorder="1" applyProtection="1"/>
    <xf numFmtId="164" fontId="14" fillId="0" borderId="60" xfId="29" applyNumberFormat="1" applyFont="1" applyFill="1" applyBorder="1"/>
    <xf numFmtId="5" fontId="14" fillId="0" borderId="64" xfId="29" applyNumberFormat="1" applyFont="1" applyFill="1" applyBorder="1" applyProtection="1"/>
    <xf numFmtId="164" fontId="14" fillId="0" borderId="62" xfId="29" applyNumberFormat="1" applyFont="1" applyFill="1" applyBorder="1"/>
    <xf numFmtId="5" fontId="14" fillId="0" borderId="62" xfId="29" applyNumberFormat="1" applyFont="1" applyFill="1" applyBorder="1"/>
    <xf numFmtId="164" fontId="14" fillId="0" borderId="65" xfId="29" applyNumberFormat="1" applyFont="1" applyFill="1" applyBorder="1" applyProtection="1"/>
    <xf numFmtId="5" fontId="14" fillId="0" borderId="67" xfId="29" applyNumberFormat="1" applyFont="1" applyFill="1" applyBorder="1"/>
    <xf numFmtId="5" fontId="14" fillId="0" borderId="60" xfId="29" applyNumberFormat="1" applyFont="1" applyFill="1" applyBorder="1"/>
    <xf numFmtId="5" fontId="14" fillId="0" borderId="68" xfId="29" applyNumberFormat="1" applyFont="1" applyFill="1" applyBorder="1"/>
    <xf numFmtId="166" fontId="14" fillId="0" borderId="69" xfId="42" applyNumberFormat="1" applyFont="1" applyFill="1" applyBorder="1"/>
    <xf numFmtId="5" fontId="14" fillId="0" borderId="70" xfId="29" applyNumberFormat="1" applyFont="1" applyFill="1" applyBorder="1"/>
    <xf numFmtId="166" fontId="14" fillId="0" borderId="71" xfId="42" applyNumberFormat="1" applyFont="1" applyFill="1" applyBorder="1"/>
    <xf numFmtId="4" fontId="14" fillId="0" borderId="62" xfId="28" applyFont="1" applyFill="1" applyBorder="1" applyProtection="1"/>
    <xf numFmtId="164" fontId="14" fillId="0" borderId="67" xfId="29" applyNumberFormat="1" applyFont="1" applyFill="1" applyBorder="1" applyProtection="1"/>
    <xf numFmtId="166" fontId="14" fillId="0" borderId="60" xfId="42" applyNumberFormat="1" applyFont="1" applyFill="1" applyBorder="1" applyProtection="1"/>
    <xf numFmtId="9" fontId="14" fillId="0" borderId="60" xfId="42" applyFont="1" applyFill="1" applyBorder="1" applyProtection="1"/>
    <xf numFmtId="4" fontId="14" fillId="0" borderId="63" xfId="28" applyFont="1" applyFill="1" applyBorder="1" applyProtection="1"/>
    <xf numFmtId="3" fontId="14" fillId="0" borderId="60" xfId="28" applyNumberFormat="1" applyFont="1" applyFill="1" applyBorder="1" applyProtection="1"/>
    <xf numFmtId="4" fontId="14" fillId="0" borderId="62" xfId="28" applyNumberFormat="1" applyFont="1" applyFill="1" applyBorder="1" applyProtection="1"/>
    <xf numFmtId="3" fontId="14" fillId="0" borderId="62" xfId="28" applyNumberFormat="1" applyFont="1" applyFill="1" applyBorder="1" applyProtection="1"/>
    <xf numFmtId="3" fontId="14" fillId="0" borderId="65" xfId="28" applyNumberFormat="1" applyFont="1" applyFill="1" applyBorder="1" applyProtection="1"/>
    <xf numFmtId="3" fontId="14" fillId="0" borderId="63" xfId="28" applyNumberFormat="1" applyFont="1" applyFill="1" applyBorder="1" applyProtection="1"/>
    <xf numFmtId="3" fontId="14" fillId="0" borderId="64" xfId="28" applyNumberFormat="1" applyFont="1" applyFill="1" applyBorder="1" applyProtection="1"/>
    <xf numFmtId="4" fontId="14" fillId="0" borderId="60" xfId="28" applyNumberFormat="1" applyFont="1" applyFill="1" applyBorder="1" applyProtection="1"/>
    <xf numFmtId="3" fontId="14" fillId="0" borderId="62" xfId="28" applyNumberFormat="1" applyFont="1" applyFill="1" applyBorder="1"/>
    <xf numFmtId="3" fontId="14" fillId="0" borderId="63" xfId="28" applyNumberFormat="1" applyFont="1" applyFill="1" applyBorder="1"/>
    <xf numFmtId="3" fontId="14" fillId="0" borderId="67" xfId="28" applyNumberFormat="1" applyFont="1" applyFill="1" applyBorder="1"/>
    <xf numFmtId="168" fontId="3" fillId="0" borderId="0" xfId="0" applyNumberFormat="1" applyFont="1" applyFill="1" applyBorder="1"/>
    <xf numFmtId="168" fontId="3" fillId="0" borderId="0" xfId="0" applyNumberFormat="1" applyFont="1" applyFill="1"/>
    <xf numFmtId="166" fontId="14" fillId="0" borderId="72" xfId="0" applyNumberFormat="1" applyFont="1" applyFill="1" applyBorder="1" applyAlignment="1">
      <alignment horizontal="centerContinuous"/>
    </xf>
    <xf numFmtId="164" fontId="14" fillId="25" borderId="60" xfId="29" applyNumberFormat="1" applyFont="1" applyFill="1" applyBorder="1" applyAlignment="1" applyProtection="1">
      <alignment horizontal="centerContinuous"/>
    </xf>
    <xf numFmtId="166" fontId="14" fillId="25" borderId="25" xfId="42" applyNumberFormat="1" applyFont="1" applyFill="1" applyBorder="1" applyAlignment="1">
      <alignment horizontal="centerContinuous"/>
    </xf>
    <xf numFmtId="2" fontId="16" fillId="25" borderId="60" xfId="0" applyFont="1" applyFill="1" applyBorder="1" applyAlignment="1">
      <alignment horizontal="centerContinuous"/>
    </xf>
    <xf numFmtId="166" fontId="14" fillId="25" borderId="25" xfId="0" applyNumberFormat="1" applyFont="1" applyFill="1" applyBorder="1" applyAlignment="1">
      <alignment horizontal="centerContinuous"/>
    </xf>
    <xf numFmtId="164" fontId="14" fillId="25" borderId="61" xfId="29" applyNumberFormat="1" applyFont="1" applyFill="1" applyBorder="1" applyAlignment="1" applyProtection="1">
      <alignment horizontal="center"/>
    </xf>
    <xf numFmtId="166" fontId="14" fillId="25" borderId="26" xfId="42" applyNumberFormat="1" applyFont="1" applyFill="1" applyBorder="1" applyAlignment="1" applyProtection="1">
      <alignment horizontal="center"/>
    </xf>
    <xf numFmtId="2" fontId="14" fillId="25" borderId="60" xfId="0" applyFont="1" applyFill="1" applyBorder="1"/>
    <xf numFmtId="166" fontId="14" fillId="25" borderId="25" xfId="0" applyNumberFormat="1" applyFont="1" applyFill="1" applyBorder="1"/>
    <xf numFmtId="164" fontId="14" fillId="25" borderId="62" xfId="29" applyNumberFormat="1" applyFont="1" applyFill="1" applyBorder="1" applyAlignment="1" applyProtection="1">
      <alignment horizontal="right"/>
    </xf>
    <xf numFmtId="164" fontId="14" fillId="25" borderId="63" xfId="29" applyNumberFormat="1" applyFont="1" applyFill="1" applyBorder="1" applyAlignment="1" applyProtection="1">
      <alignment horizontal="right"/>
    </xf>
    <xf numFmtId="164" fontId="14" fillId="25" borderId="64" xfId="29" applyNumberFormat="1" applyFont="1" applyFill="1" applyBorder="1" applyAlignment="1" applyProtection="1">
      <alignment horizontal="right"/>
    </xf>
    <xf numFmtId="5" fontId="14" fillId="25" borderId="65" xfId="29" applyNumberFormat="1" applyFont="1" applyFill="1" applyBorder="1" applyAlignment="1" applyProtection="1">
      <alignment horizontal="right"/>
    </xf>
    <xf numFmtId="5" fontId="14" fillId="25" borderId="60" xfId="29" applyNumberFormat="1" applyFont="1" applyFill="1" applyBorder="1" applyAlignment="1" applyProtection="1">
      <alignment horizontal="right"/>
    </xf>
    <xf numFmtId="164" fontId="14" fillId="25" borderId="60" xfId="29" applyNumberFormat="1" applyFont="1" applyFill="1" applyBorder="1" applyProtection="1"/>
    <xf numFmtId="166" fontId="14" fillId="25" borderId="25" xfId="42" applyNumberFormat="1" applyFont="1" applyFill="1" applyBorder="1"/>
    <xf numFmtId="164" fontId="14" fillId="25" borderId="62" xfId="29" applyNumberFormat="1" applyFont="1" applyFill="1" applyBorder="1" applyProtection="1"/>
    <xf numFmtId="166" fontId="14" fillId="25" borderId="29" xfId="42" applyNumberFormat="1" applyFont="1" applyFill="1" applyBorder="1" applyProtection="1"/>
    <xf numFmtId="5" fontId="14" fillId="25" borderId="62" xfId="29" applyNumberFormat="1" applyFont="1" applyFill="1" applyBorder="1" applyProtection="1"/>
    <xf numFmtId="164" fontId="14" fillId="25" borderId="63" xfId="29" applyNumberFormat="1" applyFont="1" applyFill="1" applyBorder="1" applyProtection="1"/>
    <xf numFmtId="166" fontId="14" fillId="25" borderId="32" xfId="42" applyNumberFormat="1" applyFont="1" applyFill="1" applyBorder="1" applyProtection="1"/>
    <xf numFmtId="166" fontId="14" fillId="25" borderId="30" xfId="42" applyNumberFormat="1" applyFont="1" applyFill="1" applyBorder="1" applyProtection="1"/>
    <xf numFmtId="166" fontId="14" fillId="25" borderId="25" xfId="42" applyNumberFormat="1" applyFont="1" applyFill="1" applyBorder="1" applyProtection="1"/>
    <xf numFmtId="164" fontId="14" fillId="25" borderId="64" xfId="29" applyNumberFormat="1" applyFont="1" applyFill="1" applyBorder="1" applyProtection="1"/>
    <xf numFmtId="164" fontId="14" fillId="25" borderId="60" xfId="29" applyNumberFormat="1" applyFont="1" applyFill="1" applyBorder="1"/>
    <xf numFmtId="5" fontId="14" fillId="25" borderId="64" xfId="29" applyNumberFormat="1" applyFont="1" applyFill="1" applyBorder="1" applyProtection="1"/>
    <xf numFmtId="164" fontId="14" fillId="25" borderId="62" xfId="29" applyNumberFormat="1" applyFont="1" applyFill="1" applyBorder="1"/>
    <xf numFmtId="166" fontId="14" fillId="25" borderId="29" xfId="42" applyNumberFormat="1" applyFont="1" applyFill="1" applyBorder="1"/>
    <xf numFmtId="164" fontId="14" fillId="25" borderId="65" xfId="29" applyNumberFormat="1" applyFont="1" applyFill="1" applyBorder="1" applyProtection="1"/>
    <xf numFmtId="166" fontId="14" fillId="25" borderId="31" xfId="42" applyNumberFormat="1" applyFont="1" applyFill="1" applyBorder="1" applyProtection="1"/>
    <xf numFmtId="166" fontId="14" fillId="25" borderId="30" xfId="42" applyNumberFormat="1" applyFont="1" applyFill="1" applyBorder="1"/>
    <xf numFmtId="5" fontId="14" fillId="25" borderId="67" xfId="29" applyNumberFormat="1" applyFont="1" applyFill="1" applyBorder="1"/>
    <xf numFmtId="166" fontId="14" fillId="25" borderId="33" xfId="42" applyNumberFormat="1" applyFont="1" applyFill="1" applyBorder="1"/>
    <xf numFmtId="5" fontId="14" fillId="25" borderId="60" xfId="29" applyNumberFormat="1" applyFont="1" applyFill="1" applyBorder="1"/>
    <xf numFmtId="4" fontId="14" fillId="25" borderId="62" xfId="28" applyFont="1" applyFill="1" applyBorder="1" applyProtection="1"/>
    <xf numFmtId="166" fontId="14" fillId="25" borderId="29" xfId="28" applyNumberFormat="1" applyFont="1" applyFill="1" applyBorder="1" applyAlignment="1" applyProtection="1">
      <alignment horizontal="left"/>
    </xf>
    <xf numFmtId="164" fontId="14" fillId="25" borderId="67" xfId="29" applyNumberFormat="1" applyFont="1" applyFill="1" applyBorder="1" applyProtection="1"/>
    <xf numFmtId="166" fontId="14" fillId="25" borderId="33" xfId="42" applyNumberFormat="1" applyFont="1" applyFill="1" applyBorder="1" applyProtection="1"/>
    <xf numFmtId="166" fontId="14" fillId="25" borderId="60" xfId="42" applyNumberFormat="1" applyFont="1" applyFill="1" applyBorder="1" applyProtection="1"/>
    <xf numFmtId="166" fontId="14" fillId="25" borderId="29" xfId="28" applyNumberFormat="1" applyFont="1" applyFill="1" applyBorder="1" applyProtection="1"/>
    <xf numFmtId="9" fontId="14" fillId="25" borderId="60" xfId="42" applyFont="1" applyFill="1" applyBorder="1" applyProtection="1"/>
    <xf numFmtId="4" fontId="14" fillId="25" borderId="63" xfId="28" applyFont="1" applyFill="1" applyBorder="1" applyProtection="1"/>
    <xf numFmtId="4" fontId="14" fillId="25" borderId="29" xfId="28" applyFont="1" applyFill="1" applyBorder="1" applyProtection="1"/>
    <xf numFmtId="2" fontId="14" fillId="25" borderId="25" xfId="0" applyFont="1" applyFill="1" applyBorder="1"/>
    <xf numFmtId="3" fontId="14" fillId="25" borderId="60" xfId="28" applyNumberFormat="1" applyFont="1" applyFill="1" applyBorder="1" applyProtection="1"/>
    <xf numFmtId="4" fontId="14" fillId="25" borderId="62" xfId="28" applyNumberFormat="1" applyFont="1" applyFill="1" applyBorder="1" applyProtection="1"/>
    <xf numFmtId="2" fontId="14" fillId="25" borderId="29" xfId="0" applyFont="1" applyFill="1" applyBorder="1"/>
    <xf numFmtId="3" fontId="14" fillId="25" borderId="62" xfId="28" applyNumberFormat="1" applyFont="1" applyFill="1" applyBorder="1" applyProtection="1"/>
    <xf numFmtId="3" fontId="14" fillId="25" borderId="65" xfId="28" applyNumberFormat="1" applyFont="1" applyFill="1" applyBorder="1" applyProtection="1"/>
    <xf numFmtId="2" fontId="14" fillId="25" borderId="31" xfId="0" applyFont="1" applyFill="1" applyBorder="1"/>
    <xf numFmtId="3" fontId="14" fillId="25" borderId="63" xfId="28" applyNumberFormat="1" applyFont="1" applyFill="1" applyBorder="1" applyProtection="1"/>
    <xf numFmtId="2" fontId="14" fillId="25" borderId="32" xfId="0" applyFont="1" applyFill="1" applyBorder="1"/>
    <xf numFmtId="3" fontId="14" fillId="25" borderId="64" xfId="28" applyNumberFormat="1" applyFont="1" applyFill="1" applyBorder="1" applyProtection="1"/>
    <xf numFmtId="2" fontId="14" fillId="25" borderId="30" xfId="0" applyFont="1" applyFill="1" applyBorder="1"/>
    <xf numFmtId="4" fontId="14" fillId="25" borderId="60" xfId="28" applyNumberFormat="1" applyFont="1" applyFill="1" applyBorder="1" applyProtection="1"/>
    <xf numFmtId="3" fontId="14" fillId="25" borderId="63" xfId="28" applyNumberFormat="1" applyFont="1" applyFill="1" applyBorder="1"/>
    <xf numFmtId="3" fontId="14" fillId="25" borderId="67" xfId="28" applyNumberFormat="1" applyFont="1" applyFill="1" applyBorder="1"/>
    <xf numFmtId="2" fontId="14" fillId="25" borderId="33" xfId="0" applyFont="1" applyFill="1" applyBorder="1"/>
    <xf numFmtId="166" fontId="14" fillId="25" borderId="29" xfId="42" applyNumberFormat="1" applyFont="1" applyFill="1" applyBorder="1" applyAlignment="1" applyProtection="1">
      <alignment horizontal="right"/>
    </xf>
    <xf numFmtId="166" fontId="14" fillId="25" borderId="30" xfId="42" applyNumberFormat="1" applyFont="1" applyFill="1" applyBorder="1" applyAlignment="1" applyProtection="1">
      <alignment horizontal="right"/>
    </xf>
    <xf numFmtId="166" fontId="14" fillId="25" borderId="25" xfId="42" applyNumberFormat="1" applyFont="1" applyFill="1" applyBorder="1" applyAlignment="1" applyProtection="1">
      <alignment horizontal="right"/>
    </xf>
    <xf numFmtId="5" fontId="14" fillId="25" borderId="64" xfId="29" applyNumberFormat="1" applyFont="1" applyFill="1" applyBorder="1"/>
    <xf numFmtId="164" fontId="14" fillId="25" borderId="62" xfId="30" applyNumberFormat="1" applyFont="1" applyFill="1" applyBorder="1" applyProtection="1"/>
    <xf numFmtId="164" fontId="14" fillId="25" borderId="63" xfId="30" applyNumberFormat="1" applyFont="1" applyFill="1" applyBorder="1" applyProtection="1"/>
    <xf numFmtId="4" fontId="14" fillId="25" borderId="62" xfId="28" quotePrefix="1" applyFont="1" applyFill="1" applyBorder="1" applyProtection="1"/>
    <xf numFmtId="166" fontId="14" fillId="25" borderId="69" xfId="42" applyNumberFormat="1" applyFont="1" applyFill="1" applyBorder="1"/>
    <xf numFmtId="5" fontId="14" fillId="25" borderId="70" xfId="29" applyNumberFormat="1" applyFont="1" applyFill="1" applyBorder="1"/>
    <xf numFmtId="166" fontId="14" fillId="25" borderId="71" xfId="42" applyNumberFormat="1" applyFont="1" applyFill="1" applyBorder="1"/>
    <xf numFmtId="37" fontId="14" fillId="25" borderId="62" xfId="28" applyNumberFormat="1" applyFont="1" applyFill="1" applyBorder="1" applyProtection="1"/>
    <xf numFmtId="37" fontId="14" fillId="25" borderId="65" xfId="28" applyNumberFormat="1" applyFont="1" applyFill="1" applyBorder="1" applyProtection="1"/>
    <xf numFmtId="37" fontId="14" fillId="25" borderId="63" xfId="28" applyNumberFormat="1" applyFont="1" applyFill="1" applyBorder="1" applyProtection="1"/>
    <xf numFmtId="3" fontId="14" fillId="25" borderId="62" xfId="28" applyNumberFormat="1" applyFont="1" applyFill="1" applyBorder="1"/>
    <xf numFmtId="166" fontId="14" fillId="0" borderId="29" xfId="42" applyNumberFormat="1" applyFont="1" applyFill="1" applyBorder="1" applyAlignment="1" applyProtection="1">
      <alignment horizontal="right"/>
    </xf>
    <xf numFmtId="166" fontId="14" fillId="0" borderId="30" xfId="42" applyNumberFormat="1" applyFont="1" applyFill="1" applyBorder="1" applyAlignment="1" applyProtection="1">
      <alignment horizontal="right"/>
    </xf>
    <xf numFmtId="166" fontId="14" fillId="0" borderId="25" xfId="42" applyNumberFormat="1" applyFont="1" applyFill="1" applyBorder="1" applyAlignment="1" applyProtection="1">
      <alignment horizontal="right"/>
    </xf>
    <xf numFmtId="5" fontId="14" fillId="0" borderId="64" xfId="29" applyNumberFormat="1" applyFont="1" applyFill="1" applyBorder="1"/>
    <xf numFmtId="4" fontId="14" fillId="0" borderId="62" xfId="28" quotePrefix="1" applyFont="1" applyFill="1" applyBorder="1" applyProtection="1"/>
    <xf numFmtId="164" fontId="14" fillId="0" borderId="62" xfId="30" applyNumberFormat="1" applyFont="1" applyFill="1" applyBorder="1" applyProtection="1"/>
    <xf numFmtId="164" fontId="14" fillId="0" borderId="63" xfId="30" applyNumberFormat="1" applyFont="1" applyFill="1" applyBorder="1" applyProtection="1"/>
    <xf numFmtId="5" fontId="14" fillId="25" borderId="68" xfId="29" applyNumberFormat="1" applyFont="1" applyFill="1" applyBorder="1"/>
    <xf numFmtId="5" fontId="14" fillId="25" borderId="63" xfId="29" applyNumberFormat="1" applyFont="1" applyFill="1" applyBorder="1" applyProtection="1"/>
    <xf numFmtId="5" fontId="14" fillId="25" borderId="62" xfId="29" applyNumberFormat="1" applyFont="1" applyFill="1" applyBorder="1"/>
    <xf numFmtId="166" fontId="11" fillId="25" borderId="30" xfId="42" applyNumberFormat="1" applyFont="1" applyFill="1" applyBorder="1" applyAlignment="1" applyProtection="1">
      <alignment horizontal="right"/>
    </xf>
    <xf numFmtId="166" fontId="11" fillId="25" borderId="29" xfId="42" applyNumberFormat="1" applyFont="1" applyFill="1" applyBorder="1" applyAlignment="1" applyProtection="1">
      <alignment horizontal="right"/>
    </xf>
    <xf numFmtId="166" fontId="11" fillId="25" borderId="25" xfId="42" applyNumberFormat="1" applyFont="1" applyFill="1" applyBorder="1" applyAlignment="1" applyProtection="1">
      <alignment horizontal="right"/>
    </xf>
    <xf numFmtId="3" fontId="11" fillId="0" borderId="22" xfId="28" applyNumberFormat="1" applyFont="1" applyBorder="1" applyProtection="1"/>
    <xf numFmtId="3" fontId="11" fillId="0" borderId="39" xfId="28" applyNumberFormat="1" applyFont="1" applyBorder="1" applyProtection="1"/>
    <xf numFmtId="3" fontId="11" fillId="24" borderId="45" xfId="28" applyNumberFormat="1" applyFont="1" applyFill="1" applyBorder="1" applyProtection="1"/>
    <xf numFmtId="3" fontId="14" fillId="0" borderId="39" xfId="28" applyNumberFormat="1" applyFont="1" applyFill="1" applyBorder="1" applyProtection="1"/>
    <xf numFmtId="3" fontId="11" fillId="0" borderId="45" xfId="28" applyNumberFormat="1" applyFont="1" applyBorder="1" applyProtection="1"/>
    <xf numFmtId="167" fontId="14" fillId="0" borderId="20" xfId="46" applyNumberFormat="1" applyFont="1" applyBorder="1" applyAlignment="1" applyProtection="1">
      <alignment horizontal="left"/>
    </xf>
    <xf numFmtId="166" fontId="14" fillId="0" borderId="25" xfId="42" applyNumberFormat="1" applyFont="1" applyFill="1" applyBorder="1" applyAlignment="1">
      <alignment horizontal="centerContinuous"/>
    </xf>
    <xf numFmtId="166" fontId="14" fillId="0" borderId="26" xfId="42" applyNumberFormat="1" applyFont="1" applyFill="1" applyBorder="1" applyAlignment="1" applyProtection="1">
      <alignment horizontal="center"/>
    </xf>
    <xf numFmtId="166" fontId="14" fillId="0" borderId="25" xfId="42" applyNumberFormat="1" applyFont="1" applyFill="1" applyBorder="1"/>
    <xf numFmtId="166" fontId="14" fillId="0" borderId="29" xfId="42" applyNumberFormat="1" applyFont="1" applyFill="1" applyBorder="1" applyProtection="1"/>
    <xf numFmtId="166" fontId="14" fillId="0" borderId="32" xfId="42" applyNumberFormat="1" applyFont="1" applyFill="1" applyBorder="1" applyProtection="1"/>
    <xf numFmtId="166" fontId="14" fillId="0" borderId="30" xfId="42" applyNumberFormat="1" applyFont="1" applyFill="1" applyBorder="1" applyProtection="1"/>
    <xf numFmtId="166" fontId="14" fillId="0" borderId="25" xfId="42" applyNumberFormat="1" applyFont="1" applyFill="1" applyBorder="1" applyProtection="1"/>
    <xf numFmtId="166" fontId="14" fillId="0" borderId="29" xfId="42" applyNumberFormat="1" applyFont="1" applyFill="1" applyBorder="1"/>
    <xf numFmtId="166" fontId="14" fillId="0" borderId="31" xfId="42" applyNumberFormat="1" applyFont="1" applyFill="1" applyBorder="1" applyProtection="1"/>
    <xf numFmtId="166" fontId="14" fillId="0" borderId="30" xfId="42" applyNumberFormat="1" applyFont="1" applyFill="1" applyBorder="1"/>
    <xf numFmtId="166" fontId="14" fillId="0" borderId="33" xfId="42" applyNumberFormat="1" applyFont="1" applyFill="1" applyBorder="1"/>
    <xf numFmtId="166" fontId="14" fillId="0" borderId="29" xfId="28" applyNumberFormat="1" applyFont="1" applyFill="1" applyBorder="1" applyAlignment="1" applyProtection="1">
      <alignment horizontal="left"/>
    </xf>
    <xf numFmtId="166" fontId="14" fillId="0" borderId="33" xfId="42" applyNumberFormat="1" applyFont="1" applyFill="1" applyBorder="1" applyProtection="1"/>
    <xf numFmtId="166" fontId="14" fillId="0" borderId="29" xfId="28" applyNumberFormat="1" applyFont="1" applyFill="1" applyBorder="1" applyProtection="1"/>
    <xf numFmtId="4" fontId="14" fillId="0" borderId="29" xfId="28" applyFont="1" applyFill="1" applyBorder="1" applyProtection="1"/>
    <xf numFmtId="10" fontId="3" fillId="0" borderId="0" xfId="0" applyNumberFormat="1" applyFont="1"/>
    <xf numFmtId="10" fontId="14" fillId="25" borderId="30" xfId="42" applyNumberFormat="1" applyFont="1" applyFill="1" applyBorder="1" applyAlignment="1" applyProtection="1">
      <alignment horizontal="right"/>
    </xf>
    <xf numFmtId="10" fontId="14" fillId="25" borderId="73" xfId="42" applyNumberFormat="1" applyFont="1" applyFill="1" applyBorder="1" applyAlignment="1" applyProtection="1">
      <alignment horizontal="right"/>
    </xf>
    <xf numFmtId="10" fontId="14" fillId="25" borderId="75" xfId="42" applyNumberFormat="1" applyFont="1" applyFill="1" applyBorder="1" applyAlignment="1" applyProtection="1">
      <alignment horizontal="right"/>
    </xf>
    <xf numFmtId="10" fontId="14" fillId="25" borderId="74" xfId="42" applyNumberFormat="1" applyFont="1" applyFill="1" applyBorder="1" applyAlignment="1" applyProtection="1">
      <alignment horizontal="right"/>
    </xf>
    <xf numFmtId="10" fontId="14" fillId="25" borderId="76" xfId="42" applyNumberFormat="1" applyFont="1" applyFill="1" applyBorder="1" applyAlignment="1" applyProtection="1">
      <alignment horizontal="right"/>
    </xf>
    <xf numFmtId="10" fontId="14" fillId="25" borderId="77" xfId="42" applyNumberFormat="1" applyFont="1" applyFill="1" applyBorder="1" applyAlignment="1" applyProtection="1">
      <alignment horizontal="right"/>
    </xf>
    <xf numFmtId="10" fontId="14" fillId="25" borderId="80" xfId="42" applyNumberFormat="1" applyFont="1" applyFill="1" applyBorder="1" applyAlignment="1" applyProtection="1">
      <alignment horizontal="right"/>
    </xf>
    <xf numFmtId="10" fontId="14" fillId="25" borderId="81" xfId="42" applyNumberFormat="1" applyFont="1" applyFill="1" applyBorder="1" applyAlignment="1" applyProtection="1">
      <alignment horizontal="right"/>
    </xf>
    <xf numFmtId="10" fontId="14" fillId="25" borderId="78" xfId="42" applyNumberFormat="1" applyFont="1" applyFill="1" applyBorder="1" applyAlignment="1" applyProtection="1">
      <alignment horizontal="right"/>
    </xf>
    <xf numFmtId="10" fontId="14" fillId="25" borderId="82" xfId="42" applyNumberFormat="1" applyFont="1" applyFill="1" applyBorder="1" applyAlignment="1" applyProtection="1">
      <alignment horizontal="right"/>
    </xf>
    <xf numFmtId="10" fontId="14" fillId="25" borderId="83" xfId="42" applyNumberFormat="1" applyFont="1" applyFill="1" applyBorder="1" applyAlignment="1" applyProtection="1">
      <alignment horizontal="right"/>
    </xf>
    <xf numFmtId="10" fontId="14" fillId="0" borderId="75" xfId="42" applyNumberFormat="1" applyFont="1" applyFill="1" applyBorder="1" applyAlignment="1" applyProtection="1">
      <alignment horizontal="right"/>
    </xf>
    <xf numFmtId="10" fontId="14" fillId="0" borderId="77" xfId="42" applyNumberFormat="1" applyFont="1" applyFill="1" applyBorder="1" applyAlignment="1" applyProtection="1">
      <alignment horizontal="right"/>
    </xf>
    <xf numFmtId="10" fontId="14" fillId="0" borderId="78" xfId="42" applyNumberFormat="1" applyFont="1" applyFill="1" applyBorder="1" applyAlignment="1" applyProtection="1">
      <alignment horizontal="right"/>
    </xf>
    <xf numFmtId="10" fontId="14" fillId="0" borderId="83" xfId="42" applyNumberFormat="1" applyFont="1" applyFill="1" applyBorder="1" applyAlignment="1" applyProtection="1">
      <alignment horizontal="right"/>
    </xf>
    <xf numFmtId="10" fontId="14" fillId="0" borderId="80" xfId="42" applyNumberFormat="1" applyFont="1" applyFill="1" applyBorder="1" applyAlignment="1" applyProtection="1">
      <alignment horizontal="right"/>
    </xf>
    <xf numFmtId="10" fontId="14" fillId="0" borderId="82" xfId="42" applyNumberFormat="1" applyFont="1" applyFill="1" applyBorder="1" applyAlignment="1" applyProtection="1">
      <alignment horizontal="right"/>
    </xf>
    <xf numFmtId="5" fontId="14" fillId="0" borderId="38" xfId="29" applyNumberFormat="1" applyFont="1" applyFill="1" applyBorder="1"/>
    <xf numFmtId="4" fontId="14" fillId="0" borderId="35" xfId="28" quotePrefix="1" applyFont="1" applyFill="1" applyBorder="1" applyProtection="1"/>
    <xf numFmtId="164" fontId="14" fillId="0" borderId="35" xfId="30" applyNumberFormat="1" applyFont="1" applyFill="1" applyBorder="1" applyProtection="1"/>
    <xf numFmtId="164" fontId="14" fillId="0" borderId="37" xfId="30" applyNumberFormat="1" applyFont="1" applyFill="1" applyBorder="1" applyProtection="1"/>
    <xf numFmtId="5" fontId="14" fillId="0" borderId="35" xfId="30" applyNumberFormat="1" applyFont="1" applyFill="1" applyBorder="1" applyProtection="1"/>
    <xf numFmtId="5" fontId="14" fillId="0" borderId="37" xfId="28" applyNumberFormat="1" applyFont="1" applyFill="1" applyBorder="1"/>
    <xf numFmtId="5" fontId="14" fillId="0" borderId="37" xfId="28" applyNumberFormat="1" applyFont="1" applyFill="1" applyBorder="1" applyProtection="1"/>
    <xf numFmtId="5" fontId="14" fillId="0" borderId="35" xfId="28" applyNumberFormat="1" applyFont="1" applyFill="1" applyBorder="1" applyProtection="1"/>
    <xf numFmtId="5" fontId="14" fillId="0" borderId="35" xfId="28" applyNumberFormat="1" applyFont="1" applyFill="1" applyBorder="1"/>
    <xf numFmtId="164" fontId="14" fillId="0" borderId="62" xfId="29" applyNumberFormat="1" applyFont="1" applyFill="1" applyBorder="1" applyAlignment="1" applyProtection="1">
      <alignment horizontal="right"/>
    </xf>
    <xf numFmtId="164" fontId="14" fillId="0" borderId="63" xfId="29" applyNumberFormat="1" applyFont="1" applyFill="1" applyBorder="1" applyAlignment="1" applyProtection="1">
      <alignment horizontal="right"/>
    </xf>
    <xf numFmtId="5" fontId="14" fillId="0" borderId="39" xfId="28" applyNumberFormat="1" applyFont="1" applyFill="1" applyBorder="1" applyProtection="1"/>
    <xf numFmtId="164" fontId="14" fillId="0" borderId="39" xfId="30" applyNumberFormat="1" applyFont="1" applyFill="1" applyBorder="1" applyProtection="1"/>
    <xf numFmtId="5" fontId="14" fillId="0" borderId="65" xfId="29" applyNumberFormat="1" applyFont="1" applyFill="1" applyBorder="1" applyAlignment="1" applyProtection="1">
      <alignment horizontal="right"/>
    </xf>
    <xf numFmtId="5" fontId="14" fillId="0" borderId="60" xfId="29" applyNumberFormat="1" applyFont="1" applyFill="1" applyBorder="1" applyAlignment="1" applyProtection="1">
      <alignment horizontal="right"/>
    </xf>
    <xf numFmtId="37" fontId="14" fillId="0" borderId="62" xfId="29" applyNumberFormat="1" applyFont="1" applyFill="1" applyBorder="1" applyProtection="1"/>
    <xf numFmtId="37" fontId="14" fillId="0" borderId="63" xfId="29" applyNumberFormat="1" applyFont="1" applyFill="1" applyBorder="1" applyProtection="1"/>
    <xf numFmtId="5" fontId="14" fillId="0" borderId="62" xfId="29" applyNumberFormat="1" applyFont="1" applyFill="1" applyBorder="1" applyProtection="1"/>
    <xf numFmtId="5" fontId="14" fillId="0" borderId="62" xfId="29" applyNumberFormat="1" applyFont="1" applyFill="1" applyBorder="1"/>
    <xf numFmtId="5" fontId="14" fillId="0" borderId="63" xfId="29" applyNumberFormat="1" applyFont="1" applyFill="1" applyBorder="1" applyProtection="1"/>
    <xf numFmtId="5" fontId="14" fillId="0" borderId="62" xfId="29" applyNumberFormat="1" applyFont="1" applyFill="1" applyBorder="1" applyProtection="1"/>
    <xf numFmtId="5" fontId="14" fillId="0" borderId="63" xfId="29" applyNumberFormat="1" applyFont="1" applyFill="1" applyBorder="1" applyProtection="1"/>
    <xf numFmtId="5" fontId="14" fillId="0" borderId="65" xfId="29" applyNumberFormat="1" applyFont="1" applyFill="1" applyBorder="1" applyProtection="1"/>
    <xf numFmtId="164" fontId="14" fillId="0" borderId="62" xfId="29" applyNumberFormat="1" applyFont="1" applyFill="1" applyBorder="1" applyProtection="1"/>
    <xf numFmtId="164" fontId="14" fillId="0" borderId="63" xfId="29" applyNumberFormat="1" applyFont="1" applyFill="1" applyBorder="1" applyProtection="1"/>
    <xf numFmtId="164" fontId="14" fillId="0" borderId="65" xfId="29" applyNumberFormat="1" applyFont="1" applyFill="1" applyBorder="1" applyProtection="1"/>
    <xf numFmtId="164" fontId="14" fillId="0" borderId="62" xfId="29" applyNumberFormat="1" applyFont="1" applyFill="1" applyBorder="1" applyProtection="1"/>
    <xf numFmtId="164" fontId="14" fillId="0" borderId="63" xfId="29" applyNumberFormat="1" applyFont="1" applyFill="1" applyBorder="1" applyProtection="1"/>
    <xf numFmtId="164" fontId="14" fillId="0" borderId="65" xfId="29" applyNumberFormat="1" applyFont="1" applyFill="1" applyBorder="1" applyProtection="1"/>
    <xf numFmtId="164" fontId="14" fillId="0" borderId="62" xfId="29" applyNumberFormat="1" applyFont="1" applyFill="1" applyBorder="1" applyProtection="1"/>
    <xf numFmtId="5" fontId="14" fillId="0" borderId="62" xfId="29" applyNumberFormat="1" applyFont="1" applyFill="1" applyBorder="1" applyProtection="1"/>
    <xf numFmtId="164" fontId="14" fillId="0" borderId="63" xfId="29" applyNumberFormat="1" applyFont="1" applyFill="1" applyBorder="1" applyProtection="1"/>
    <xf numFmtId="164" fontId="14" fillId="0" borderId="65" xfId="29" applyNumberFormat="1" applyFont="1" applyFill="1" applyBorder="1" applyProtection="1"/>
    <xf numFmtId="164" fontId="14" fillId="0" borderId="62" xfId="29" applyNumberFormat="1" applyFont="1" applyFill="1" applyBorder="1" applyProtection="1"/>
    <xf numFmtId="164" fontId="14" fillId="0" borderId="65" xfId="29" applyNumberFormat="1" applyFont="1" applyFill="1" applyBorder="1" applyProtection="1"/>
    <xf numFmtId="164" fontId="14" fillId="0" borderId="62" xfId="29" applyNumberFormat="1" applyFont="1" applyFill="1" applyBorder="1" applyProtection="1"/>
    <xf numFmtId="164" fontId="14" fillId="0" borderId="63" xfId="29" applyNumberFormat="1" applyFont="1" applyFill="1" applyBorder="1" applyProtection="1"/>
    <xf numFmtId="164" fontId="14" fillId="0" borderId="65" xfId="29" applyNumberFormat="1" applyFont="1" applyFill="1" applyBorder="1" applyProtection="1"/>
    <xf numFmtId="164" fontId="14" fillId="0" borderId="62" xfId="29" applyNumberFormat="1" applyFont="1" applyFill="1" applyBorder="1" applyProtection="1"/>
    <xf numFmtId="164" fontId="14" fillId="0" borderId="63" xfId="29" applyNumberFormat="1" applyFont="1" applyFill="1" applyBorder="1" applyProtection="1"/>
    <xf numFmtId="5" fontId="14" fillId="0" borderId="62" xfId="29" applyNumberFormat="1" applyFont="1" applyFill="1" applyBorder="1" applyProtection="1"/>
    <xf numFmtId="5" fontId="14" fillId="0" borderId="63" xfId="29" applyNumberFormat="1" applyFont="1" applyFill="1" applyBorder="1" applyProtection="1"/>
    <xf numFmtId="5" fontId="14" fillId="0" borderId="65" xfId="29" applyNumberFormat="1" applyFont="1" applyFill="1" applyBorder="1" applyProtection="1"/>
    <xf numFmtId="5" fontId="14" fillId="0" borderId="62" xfId="28" applyNumberFormat="1" applyFont="1" applyFill="1" applyBorder="1" applyProtection="1"/>
    <xf numFmtId="5" fontId="14" fillId="0" borderId="65" xfId="28" applyNumberFormat="1" applyFont="1" applyFill="1" applyBorder="1" applyProtection="1"/>
    <xf numFmtId="5" fontId="14" fillId="0" borderId="63" xfId="28" applyNumberFormat="1" applyFont="1" applyFill="1" applyBorder="1" applyProtection="1"/>
    <xf numFmtId="5" fontId="14" fillId="0" borderId="62" xfId="28" applyNumberFormat="1" applyFont="1" applyFill="1" applyBorder="1" applyProtection="1"/>
    <xf numFmtId="5" fontId="14" fillId="0" borderId="62" xfId="28" applyNumberFormat="1" applyFont="1" applyFill="1" applyBorder="1"/>
    <xf numFmtId="5" fontId="14" fillId="0" borderId="63" xfId="28" applyNumberFormat="1" applyFont="1" applyFill="1" applyBorder="1"/>
    <xf numFmtId="5" fontId="14" fillId="25" borderId="35" xfId="30" applyNumberFormat="1" applyFont="1" applyFill="1" applyBorder="1" applyProtection="1"/>
    <xf numFmtId="164" fontId="14" fillId="25" borderId="62" xfId="49" applyNumberFormat="1" applyFont="1" applyFill="1" applyBorder="1" applyProtection="1"/>
    <xf numFmtId="164" fontId="14" fillId="25" borderId="62" xfId="30" applyNumberFormat="1" applyFont="1" applyFill="1" applyBorder="1" applyProtection="1"/>
    <xf numFmtId="166" fontId="14" fillId="25" borderId="72" xfId="0" applyNumberFormat="1" applyFont="1" applyFill="1" applyBorder="1" applyAlignment="1">
      <alignment horizontal="centerContinuous"/>
    </xf>
    <xf numFmtId="37" fontId="14" fillId="25" borderId="62" xfId="29" applyNumberFormat="1" applyFont="1" applyFill="1" applyBorder="1" applyProtection="1"/>
    <xf numFmtId="168" fontId="13" fillId="26" borderId="38" xfId="28" applyNumberFormat="1" applyFont="1" applyFill="1" applyBorder="1" applyAlignment="1">
      <alignment horizontal="center"/>
    </xf>
    <xf numFmtId="49" fontId="13" fillId="26" borderId="19" xfId="28" applyNumberFormat="1" applyFont="1" applyFill="1" applyBorder="1" applyAlignment="1">
      <alignment horizontal="center"/>
    </xf>
    <xf numFmtId="168" fontId="14" fillId="26" borderId="15" xfId="0" applyNumberFormat="1" applyFont="1" applyFill="1" applyBorder="1" applyAlignment="1" applyProtection="1">
      <alignment horizontal="left"/>
    </xf>
    <xf numFmtId="164" fontId="11" fillId="26" borderId="14" xfId="29" applyNumberFormat="1" applyFont="1" applyFill="1" applyBorder="1" applyAlignment="1" applyProtection="1">
      <alignment horizontal="right"/>
    </xf>
    <xf numFmtId="166" fontId="11" fillId="26" borderId="15" xfId="42" applyNumberFormat="1" applyFont="1" applyFill="1" applyBorder="1" applyAlignment="1" applyProtection="1">
      <alignment horizontal="right"/>
    </xf>
    <xf numFmtId="164" fontId="11" fillId="26" borderId="18" xfId="29" applyNumberFormat="1" applyFont="1" applyFill="1" applyBorder="1" applyAlignment="1" applyProtection="1">
      <alignment horizontal="right"/>
    </xf>
    <xf numFmtId="164" fontId="11" fillId="26" borderId="38" xfId="29" applyNumberFormat="1" applyFont="1" applyFill="1" applyBorder="1" applyAlignment="1" applyProtection="1">
      <alignment horizontal="right"/>
    </xf>
    <xf numFmtId="166" fontId="11" fillId="26" borderId="30" xfId="42" applyNumberFormat="1" applyFont="1" applyFill="1" applyBorder="1" applyAlignment="1" applyProtection="1">
      <alignment horizontal="right"/>
    </xf>
    <xf numFmtId="164" fontId="14" fillId="26" borderId="38" xfId="29" applyNumberFormat="1" applyFont="1" applyFill="1" applyBorder="1" applyAlignment="1" applyProtection="1">
      <alignment horizontal="right"/>
    </xf>
    <xf numFmtId="166" fontId="14" fillId="26" borderId="30" xfId="42" applyNumberFormat="1" applyFont="1" applyFill="1" applyBorder="1" applyAlignment="1" applyProtection="1">
      <alignment horizontal="right"/>
    </xf>
    <xf numFmtId="164" fontId="14" fillId="26" borderId="64" xfId="29" applyNumberFormat="1" applyFont="1" applyFill="1" applyBorder="1" applyAlignment="1" applyProtection="1">
      <alignment horizontal="right"/>
    </xf>
    <xf numFmtId="10" fontId="14" fillId="26" borderId="78" xfId="42" applyNumberFormat="1" applyFont="1" applyFill="1" applyBorder="1" applyAlignment="1" applyProtection="1">
      <alignment horizontal="right"/>
    </xf>
    <xf numFmtId="166" fontId="11" fillId="26" borderId="15" xfId="42" applyNumberFormat="1" applyFont="1" applyFill="1" applyBorder="1" applyProtection="1"/>
    <xf numFmtId="166" fontId="11" fillId="26" borderId="30" xfId="42" applyNumberFormat="1" applyFont="1" applyFill="1" applyBorder="1" applyProtection="1"/>
    <xf numFmtId="166" fontId="14" fillId="26" borderId="30" xfId="42" applyNumberFormat="1" applyFont="1" applyFill="1" applyBorder="1" applyProtection="1"/>
    <xf numFmtId="10" fontId="14" fillId="26" borderId="30" xfId="42" applyNumberFormat="1" applyFont="1" applyFill="1" applyBorder="1" applyAlignment="1" applyProtection="1">
      <alignment horizontal="right"/>
    </xf>
    <xf numFmtId="164" fontId="11" fillId="26" borderId="14" xfId="29" applyNumberFormat="1" applyFont="1" applyFill="1" applyBorder="1" applyProtection="1"/>
    <xf numFmtId="164" fontId="11" fillId="26" borderId="18" xfId="29" applyNumberFormat="1" applyFont="1" applyFill="1" applyBorder="1" applyProtection="1"/>
    <xf numFmtId="164" fontId="11" fillId="26" borderId="38" xfId="29" applyNumberFormat="1" applyFont="1" applyFill="1" applyBorder="1" applyProtection="1"/>
    <xf numFmtId="164" fontId="14" fillId="26" borderId="38" xfId="29" applyNumberFormat="1" applyFont="1" applyFill="1" applyBorder="1" applyProtection="1"/>
    <xf numFmtId="164" fontId="14" fillId="26" borderId="64" xfId="29" applyNumberFormat="1" applyFont="1" applyFill="1" applyBorder="1" applyProtection="1"/>
    <xf numFmtId="168" fontId="14" fillId="26" borderId="15" xfId="0" applyNumberFormat="1" applyFont="1" applyFill="1" applyBorder="1" applyAlignment="1">
      <alignment horizontal="left"/>
    </xf>
    <xf numFmtId="164" fontId="11" fillId="26" borderId="14" xfId="29" applyNumberFormat="1" applyFont="1" applyFill="1" applyBorder="1"/>
    <xf numFmtId="166" fontId="11" fillId="26" borderId="15" xfId="42" applyNumberFormat="1" applyFont="1" applyFill="1" applyBorder="1"/>
    <xf numFmtId="164" fontId="11" fillId="26" borderId="18" xfId="29" applyNumberFormat="1" applyFont="1" applyFill="1" applyBorder="1"/>
    <xf numFmtId="166" fontId="11" fillId="26" borderId="30" xfId="42" applyNumberFormat="1" applyFont="1" applyFill="1" applyBorder="1"/>
    <xf numFmtId="10" fontId="14" fillId="26" borderId="75" xfId="42" applyNumberFormat="1" applyFont="1" applyFill="1" applyBorder="1" applyAlignment="1" applyProtection="1">
      <alignment horizontal="right"/>
    </xf>
    <xf numFmtId="164" fontId="11" fillId="26" borderId="38" xfId="29" applyNumberFormat="1" applyFont="1" applyFill="1" applyBorder="1"/>
    <xf numFmtId="164" fontId="14" fillId="26" borderId="38" xfId="29" applyNumberFormat="1" applyFont="1" applyFill="1" applyBorder="1"/>
    <xf numFmtId="166" fontId="14" fillId="26" borderId="30" xfId="42" applyNumberFormat="1" applyFont="1" applyFill="1" applyBorder="1"/>
    <xf numFmtId="164" fontId="14" fillId="26" borderId="64" xfId="29" applyNumberFormat="1" applyFont="1" applyFill="1" applyBorder="1"/>
    <xf numFmtId="168" fontId="13" fillId="26" borderId="51" xfId="28" applyNumberFormat="1" applyFont="1" applyFill="1" applyBorder="1" applyAlignment="1">
      <alignment horizontal="center"/>
    </xf>
    <xf numFmtId="168" fontId="14" fillId="26" borderId="47" xfId="0" applyNumberFormat="1" applyFont="1" applyFill="1" applyBorder="1" applyAlignment="1" applyProtection="1">
      <alignment horizontal="left"/>
    </xf>
    <xf numFmtId="164" fontId="11" fillId="26" borderId="48" xfId="29" applyNumberFormat="1" applyFont="1" applyFill="1" applyBorder="1" applyProtection="1"/>
    <xf numFmtId="166" fontId="11" fillId="26" borderId="47" xfId="42" applyNumberFormat="1" applyFont="1" applyFill="1" applyBorder="1" applyProtection="1"/>
    <xf numFmtId="164" fontId="11" fillId="26" borderId="49" xfId="29" applyNumberFormat="1" applyFont="1" applyFill="1" applyBorder="1" applyProtection="1"/>
    <xf numFmtId="166" fontId="11" fillId="26" borderId="50" xfId="42" applyNumberFormat="1" applyFont="1" applyFill="1" applyBorder="1" applyProtection="1"/>
    <xf numFmtId="164" fontId="11" fillId="26" borderId="51" xfId="29" applyNumberFormat="1" applyFont="1" applyFill="1" applyBorder="1" applyProtection="1"/>
    <xf numFmtId="164" fontId="14" fillId="26" borderId="51" xfId="29" applyNumberFormat="1" applyFont="1" applyFill="1" applyBorder="1" applyProtection="1"/>
    <xf numFmtId="166" fontId="14" fillId="26" borderId="50" xfId="42" applyNumberFormat="1" applyFont="1" applyFill="1" applyBorder="1" applyProtection="1"/>
    <xf numFmtId="164" fontId="14" fillId="26" borderId="66" xfId="29" applyNumberFormat="1" applyFont="1" applyFill="1" applyBorder="1" applyProtection="1"/>
    <xf numFmtId="10" fontId="14" fillId="26" borderId="79" xfId="42" applyNumberFormat="1" applyFont="1" applyFill="1" applyBorder="1" applyAlignment="1" applyProtection="1">
      <alignment horizontal="right"/>
    </xf>
    <xf numFmtId="168" fontId="13" fillId="26" borderId="55" xfId="28" applyNumberFormat="1" applyFont="1" applyFill="1" applyBorder="1" applyAlignment="1">
      <alignment horizontal="center"/>
    </xf>
    <xf numFmtId="168" fontId="14" fillId="26" borderId="24" xfId="0" applyNumberFormat="1" applyFont="1" applyFill="1" applyBorder="1" applyAlignment="1" applyProtection="1">
      <alignment horizontal="left"/>
    </xf>
    <xf numFmtId="164" fontId="11" fillId="26" borderId="21" xfId="29" applyNumberFormat="1" applyFont="1" applyFill="1" applyBorder="1" applyProtection="1"/>
    <xf numFmtId="166" fontId="11" fillId="26" borderId="24" xfId="42" applyNumberFormat="1" applyFont="1" applyFill="1" applyBorder="1" applyProtection="1"/>
    <xf numFmtId="164" fontId="11" fillId="26" borderId="44" xfId="29" applyNumberFormat="1" applyFont="1" applyFill="1" applyBorder="1" applyProtection="1"/>
    <xf numFmtId="166" fontId="11" fillId="26" borderId="32" xfId="42" applyNumberFormat="1" applyFont="1" applyFill="1" applyBorder="1" applyProtection="1"/>
    <xf numFmtId="164" fontId="11" fillId="26" borderId="37" xfId="29" applyNumberFormat="1" applyFont="1" applyFill="1" applyBorder="1" applyProtection="1"/>
    <xf numFmtId="164" fontId="14" fillId="26" borderId="37" xfId="29" applyNumberFormat="1" applyFont="1" applyFill="1" applyBorder="1" applyProtection="1"/>
    <xf numFmtId="166" fontId="14" fillId="26" borderId="32" xfId="42" applyNumberFormat="1" applyFont="1" applyFill="1" applyBorder="1" applyProtection="1"/>
    <xf numFmtId="164" fontId="14" fillId="26" borderId="63" xfId="29" applyNumberFormat="1" applyFont="1" applyFill="1" applyBorder="1" applyProtection="1"/>
    <xf numFmtId="10" fontId="14" fillId="26" borderId="74" xfId="42" applyNumberFormat="1" applyFont="1" applyFill="1" applyBorder="1" applyAlignment="1" applyProtection="1">
      <alignment horizontal="right"/>
    </xf>
    <xf numFmtId="10" fontId="14" fillId="26" borderId="77" xfId="42" applyNumberFormat="1" applyFont="1" applyFill="1" applyBorder="1" applyAlignment="1" applyProtection="1">
      <alignment horizontal="right"/>
    </xf>
    <xf numFmtId="168" fontId="13" fillId="26" borderId="40" xfId="28" applyNumberFormat="1" applyFont="1" applyFill="1" applyBorder="1" applyAlignment="1">
      <alignment horizontal="center"/>
    </xf>
    <xf numFmtId="168" fontId="14" fillId="26" borderId="17" xfId="0" applyNumberFormat="1" applyFont="1" applyFill="1" applyBorder="1" applyAlignment="1">
      <alignment horizontal="left"/>
    </xf>
    <xf numFmtId="5" fontId="11" fillId="26" borderId="16" xfId="29" applyNumberFormat="1" applyFont="1" applyFill="1" applyBorder="1"/>
    <xf numFmtId="166" fontId="11" fillId="26" borderId="17" xfId="42" applyNumberFormat="1" applyFont="1" applyFill="1" applyBorder="1"/>
    <xf numFmtId="5" fontId="11" fillId="26" borderId="46" xfId="29" applyNumberFormat="1" applyFont="1" applyFill="1" applyBorder="1"/>
    <xf numFmtId="166" fontId="11" fillId="26" borderId="33" xfId="42" applyNumberFormat="1" applyFont="1" applyFill="1" applyBorder="1"/>
    <xf numFmtId="5" fontId="11" fillId="26" borderId="40" xfId="29" applyNumberFormat="1" applyFont="1" applyFill="1" applyBorder="1"/>
    <xf numFmtId="5" fontId="14" fillId="26" borderId="40" xfId="29" applyNumberFormat="1" applyFont="1" applyFill="1" applyBorder="1"/>
    <xf numFmtId="166" fontId="14" fillId="26" borderId="33" xfId="42" applyNumberFormat="1" applyFont="1" applyFill="1" applyBorder="1"/>
    <xf numFmtId="5" fontId="14" fillId="26" borderId="67" xfId="29" applyNumberFormat="1" applyFont="1" applyFill="1" applyBorder="1"/>
    <xf numFmtId="10" fontId="14" fillId="26" borderId="80" xfId="42" applyNumberFormat="1" applyFont="1" applyFill="1" applyBorder="1" applyAlignment="1" applyProtection="1">
      <alignment horizontal="right"/>
    </xf>
  </cellXfs>
  <cellStyles count="94">
    <cellStyle name="20% - Accent1" xfId="1" builtinId="30" customBuiltin="1"/>
    <cellStyle name="20% - Accent1 2" xfId="53"/>
    <cellStyle name="20% - Accent2" xfId="2" builtinId="34" customBuiltin="1"/>
    <cellStyle name="20% - Accent2 2" xfId="54"/>
    <cellStyle name="20% - Accent3" xfId="3" builtinId="38" customBuiltin="1"/>
    <cellStyle name="20% - Accent3 2" xfId="55"/>
    <cellStyle name="20% - Accent4" xfId="4" builtinId="42" customBuiltin="1"/>
    <cellStyle name="20% - Accent4 2" xfId="56"/>
    <cellStyle name="20% - Accent5" xfId="5" builtinId="46" customBuiltin="1"/>
    <cellStyle name="20% - Accent5 2" xfId="57"/>
    <cellStyle name="20% - Accent6" xfId="6" builtinId="50" customBuiltin="1"/>
    <cellStyle name="20% - Accent6 2" xfId="58"/>
    <cellStyle name="40% - Accent1" xfId="7" builtinId="31" customBuiltin="1"/>
    <cellStyle name="40% - Accent1 2" xfId="59"/>
    <cellStyle name="40% - Accent2" xfId="8" builtinId="35" customBuiltin="1"/>
    <cellStyle name="40% - Accent2 2" xfId="60"/>
    <cellStyle name="40% - Accent3" xfId="9" builtinId="39" customBuiltin="1"/>
    <cellStyle name="40% - Accent3 2" xfId="61"/>
    <cellStyle name="40% - Accent4" xfId="10" builtinId="43" customBuiltin="1"/>
    <cellStyle name="40% - Accent4 2" xfId="62"/>
    <cellStyle name="40% - Accent5" xfId="11" builtinId="47" customBuiltin="1"/>
    <cellStyle name="40% - Accent5 2" xfId="63"/>
    <cellStyle name="40% - Accent6" xfId="12" builtinId="51" customBuiltin="1"/>
    <cellStyle name="40% - Accent6 2" xfId="64"/>
    <cellStyle name="60% - Accent1" xfId="13" builtinId="32" customBuiltin="1"/>
    <cellStyle name="60% - Accent1 2" xfId="65"/>
    <cellStyle name="60% - Accent2" xfId="14" builtinId="36" customBuiltin="1"/>
    <cellStyle name="60% - Accent2 2" xfId="66"/>
    <cellStyle name="60% - Accent3" xfId="15" builtinId="40" customBuiltin="1"/>
    <cellStyle name="60% - Accent3 2" xfId="67"/>
    <cellStyle name="60% - Accent4" xfId="16" builtinId="44" customBuiltin="1"/>
    <cellStyle name="60% - Accent4 2" xfId="68"/>
    <cellStyle name="60% - Accent5" xfId="17" builtinId="48" customBuiltin="1"/>
    <cellStyle name="60% - Accent5 2" xfId="69"/>
    <cellStyle name="60% - Accent6" xfId="18" builtinId="52" customBuiltin="1"/>
    <cellStyle name="60% - Accent6 2" xfId="70"/>
    <cellStyle name="Accent1" xfId="19" builtinId="29" customBuiltin="1"/>
    <cellStyle name="Accent1 2" xfId="71"/>
    <cellStyle name="Accent2" xfId="20" builtinId="33" customBuiltin="1"/>
    <cellStyle name="Accent2 2" xfId="72"/>
    <cellStyle name="Accent3" xfId="21" builtinId="37" customBuiltin="1"/>
    <cellStyle name="Accent3 2" xfId="73"/>
    <cellStyle name="Accent4" xfId="22" builtinId="41" customBuiltin="1"/>
    <cellStyle name="Accent4 2" xfId="74"/>
    <cellStyle name="Accent5" xfId="23" builtinId="45" customBuiltin="1"/>
    <cellStyle name="Accent5 2" xfId="75"/>
    <cellStyle name="Accent6" xfId="24" builtinId="49" customBuiltin="1"/>
    <cellStyle name="Accent6 2" xfId="76"/>
    <cellStyle name="Bad" xfId="25" builtinId="27" customBuiltin="1"/>
    <cellStyle name="Bad 2" xfId="77"/>
    <cellStyle name="Calculation" xfId="26" builtinId="22" customBuiltin="1"/>
    <cellStyle name="Calculation 2" xfId="78"/>
    <cellStyle name="Check Cell" xfId="27" builtinId="23" customBuiltin="1"/>
    <cellStyle name="Check Cell 2" xfId="79"/>
    <cellStyle name="Comma" xfId="28" builtinId="3"/>
    <cellStyle name="Comma 2" xfId="48"/>
    <cellStyle name="Currency" xfId="29" builtinId="4"/>
    <cellStyle name="Currency 2" xfId="49"/>
    <cellStyle name="Currency_Sheet1" xfId="30"/>
    <cellStyle name="Explanatory Text" xfId="31" builtinId="53" customBuiltin="1"/>
    <cellStyle name="Explanatory Text 2" xfId="80"/>
    <cellStyle name="Good" xfId="32" builtinId="26" customBuiltin="1"/>
    <cellStyle name="Good 2" xfId="81"/>
    <cellStyle name="Heading 1" xfId="33" builtinId="16" customBuiltin="1"/>
    <cellStyle name="Heading 1 2" xfId="82"/>
    <cellStyle name="Heading 2" xfId="34" builtinId="17" customBuiltin="1"/>
    <cellStyle name="Heading 2 2" xfId="83"/>
    <cellStyle name="Heading 3" xfId="35" builtinId="18" customBuiltin="1"/>
    <cellStyle name="Heading 3 2" xfId="84"/>
    <cellStyle name="Heading 4" xfId="36" builtinId="19" customBuiltin="1"/>
    <cellStyle name="Heading 4 2" xfId="85"/>
    <cellStyle name="Input" xfId="37" builtinId="20" customBuiltin="1"/>
    <cellStyle name="Input 2" xfId="86"/>
    <cellStyle name="Linked Cell" xfId="38" builtinId="24" customBuiltin="1"/>
    <cellStyle name="Linked Cell 2" xfId="87"/>
    <cellStyle name="Neutral" xfId="39" builtinId="28" customBuiltin="1"/>
    <cellStyle name="Neutral 2" xfId="88"/>
    <cellStyle name="Normal" xfId="0" builtinId="0"/>
    <cellStyle name="Normal 2" xfId="46"/>
    <cellStyle name="Normal 3" xfId="89"/>
    <cellStyle name="Normal 4" xfId="52"/>
    <cellStyle name="Note" xfId="40" builtinId="10" customBuiltin="1"/>
    <cellStyle name="Note 2" xfId="47"/>
    <cellStyle name="Note 3" xfId="50"/>
    <cellStyle name="Output" xfId="41" builtinId="21" customBuiltin="1"/>
    <cellStyle name="Output 2" xfId="90"/>
    <cellStyle name="Percent" xfId="42" builtinId="5"/>
    <cellStyle name="Percent 2" xfId="51"/>
    <cellStyle name="Title" xfId="43" builtinId="15" customBuiltin="1"/>
    <cellStyle name="Title 2" xfId="91"/>
    <cellStyle name="Total" xfId="44" builtinId="25" customBuiltin="1"/>
    <cellStyle name="Total 2" xfId="92"/>
    <cellStyle name="Warning Text" xfId="45" builtinId="11" customBuiltin="1"/>
    <cellStyle name="Warning Text 2" xfId="9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331"/>
  <sheetViews>
    <sheetView tabSelected="1" zoomScaleNormal="100" workbookViewId="0">
      <pane xSplit="15" ySplit="3" topLeftCell="Y4" activePane="bottomRight" state="frozen"/>
      <selection pane="topRight" activeCell="P1" sqref="P1"/>
      <selection pane="bottomLeft" activeCell="A4" sqref="A4"/>
      <selection pane="bottomRight" activeCell="AA54" sqref="AA54"/>
    </sheetView>
  </sheetViews>
  <sheetFormatPr defaultRowHeight="18" customHeight="1" x14ac:dyDescent="0.2"/>
  <cols>
    <col min="1" max="1" width="4.25" style="7" customWidth="1"/>
    <col min="2" max="2" width="7.875" style="71" hidden="1" customWidth="1"/>
    <col min="3" max="3" width="27.25" style="9" customWidth="1"/>
    <col min="4" max="4" width="12.625" style="8" hidden="1" customWidth="1"/>
    <col min="5" max="5" width="7.875" style="5" hidden="1" customWidth="1"/>
    <col min="6" max="6" width="13" style="8" hidden="1" customWidth="1"/>
    <col min="7" max="7" width="7.5" style="5" hidden="1" customWidth="1"/>
    <col min="8" max="8" width="13.125" style="13" hidden="1" customWidth="1"/>
    <col min="9" max="9" width="7.375" style="13" hidden="1" customWidth="1"/>
    <col min="10" max="10" width="12.875" style="13" hidden="1" customWidth="1"/>
    <col min="11" max="11" width="7.625" style="1" hidden="1" customWidth="1"/>
    <col min="12" max="12" width="12.625" style="13" hidden="1" customWidth="1"/>
    <col min="13" max="13" width="7.625" style="1" hidden="1" customWidth="1"/>
    <col min="14" max="14" width="12.625" style="1" hidden="1" customWidth="1"/>
    <col min="15" max="15" width="7.875" style="1" hidden="1" customWidth="1"/>
    <col min="16" max="16" width="13.75" style="409" hidden="1" customWidth="1"/>
    <col min="17" max="17" width="8" style="410" hidden="1" customWidth="1"/>
    <col min="18" max="18" width="14.375" style="409" bestFit="1" customWidth="1"/>
    <col min="19" max="19" width="8" style="410" bestFit="1" customWidth="1"/>
    <col min="20" max="20" width="14.375" style="409" bestFit="1" customWidth="1"/>
    <col min="21" max="21" width="8" style="410" bestFit="1" customWidth="1"/>
    <col min="22" max="22" width="15.25" style="409" bestFit="1" customWidth="1"/>
    <col min="23" max="23" width="8.75" style="410" bestFit="1" customWidth="1"/>
    <col min="24" max="24" width="15.125" style="409" bestFit="1" customWidth="1"/>
    <col min="25" max="25" width="8.625" style="410" bestFit="1" customWidth="1"/>
    <col min="26" max="26" width="11.625" style="410" customWidth="1"/>
    <col min="27" max="27" width="15.125" style="409" bestFit="1" customWidth="1"/>
    <col min="28" max="28" width="8.75" style="410" bestFit="1" customWidth="1"/>
    <col min="29" max="29" width="10.375" style="410" customWidth="1"/>
    <col min="30" max="30" width="15.125" style="409" bestFit="1" customWidth="1"/>
    <col min="31" max="31" width="7.75" style="410" customWidth="1"/>
    <col min="32" max="32" width="10.375" style="410" bestFit="1" customWidth="1"/>
    <col min="33" max="16384" width="9" style="1"/>
  </cols>
  <sheetData>
    <row r="1" spans="1:34" ht="15.75" x14ac:dyDescent="0.25">
      <c r="A1" s="15"/>
      <c r="B1" s="90"/>
      <c r="C1" s="73" t="s">
        <v>198</v>
      </c>
      <c r="D1" s="18" t="s">
        <v>41</v>
      </c>
      <c r="E1" s="19"/>
      <c r="F1" s="147" t="s">
        <v>42</v>
      </c>
      <c r="G1" s="148"/>
      <c r="H1" s="116" t="s">
        <v>43</v>
      </c>
      <c r="I1" s="19"/>
      <c r="J1" s="147" t="s">
        <v>44</v>
      </c>
      <c r="K1" s="148"/>
      <c r="L1" s="318" t="s">
        <v>289</v>
      </c>
      <c r="M1" s="319"/>
      <c r="N1" s="230" t="s">
        <v>370</v>
      </c>
      <c r="O1" s="231"/>
      <c r="P1" s="366" t="s">
        <v>392</v>
      </c>
      <c r="Q1" s="231"/>
      <c r="R1" s="412" t="s">
        <v>395</v>
      </c>
      <c r="S1" s="413"/>
      <c r="T1" s="366" t="s">
        <v>398</v>
      </c>
      <c r="U1" s="502"/>
      <c r="V1" s="230"/>
      <c r="W1" s="502"/>
      <c r="X1" s="412" t="s">
        <v>400</v>
      </c>
      <c r="Y1" s="413"/>
      <c r="Z1" s="413"/>
      <c r="AA1" s="366" t="s">
        <v>403</v>
      </c>
      <c r="AB1" s="502"/>
      <c r="AC1" s="502"/>
      <c r="AD1" s="412" t="s">
        <v>404</v>
      </c>
      <c r="AE1" s="413"/>
      <c r="AF1" s="413"/>
      <c r="AH1" s="517">
        <v>1.0249999999999999</v>
      </c>
    </row>
    <row r="2" spans="1:34" customFormat="1" ht="15.75" x14ac:dyDescent="0.25">
      <c r="A2" s="16"/>
      <c r="B2" s="91" t="s">
        <v>45</v>
      </c>
      <c r="C2" s="39"/>
      <c r="D2" s="20" t="s">
        <v>29</v>
      </c>
      <c r="E2" s="21"/>
      <c r="F2" s="204" t="s">
        <v>29</v>
      </c>
      <c r="G2" s="149"/>
      <c r="H2" s="205" t="s">
        <v>29</v>
      </c>
      <c r="I2" s="21"/>
      <c r="J2" s="204" t="s">
        <v>29</v>
      </c>
      <c r="K2" s="149"/>
      <c r="L2" s="320" t="s">
        <v>29</v>
      </c>
      <c r="M2" s="321"/>
      <c r="N2" s="232" t="s">
        <v>29</v>
      </c>
      <c r="O2" s="411"/>
      <c r="P2" s="367" t="s">
        <v>29</v>
      </c>
      <c r="Q2" s="411"/>
      <c r="R2" s="414" t="s">
        <v>29</v>
      </c>
      <c r="S2" s="587"/>
      <c r="T2" s="232" t="s">
        <v>407</v>
      </c>
      <c r="U2" s="233"/>
      <c r="V2" s="232" t="s">
        <v>406</v>
      </c>
      <c r="W2" s="233"/>
      <c r="X2" s="414" t="s">
        <v>401</v>
      </c>
      <c r="Y2" s="415"/>
      <c r="Z2" s="415"/>
      <c r="AA2" s="367" t="s">
        <v>401</v>
      </c>
      <c r="AB2" s="233"/>
      <c r="AC2" s="233"/>
      <c r="AD2" s="414" t="s">
        <v>401</v>
      </c>
      <c r="AE2" s="415"/>
      <c r="AF2" s="415"/>
      <c r="AH2" s="517">
        <v>1.05</v>
      </c>
    </row>
    <row r="3" spans="1:34" s="4" customFormat="1" ht="15.75" x14ac:dyDescent="0.25">
      <c r="A3" s="17"/>
      <c r="B3" s="92" t="s">
        <v>46</v>
      </c>
      <c r="C3" s="301" t="s">
        <v>313</v>
      </c>
      <c r="D3" s="22" t="s">
        <v>33</v>
      </c>
      <c r="E3" s="23" t="s">
        <v>199</v>
      </c>
      <c r="F3" s="150" t="s">
        <v>33</v>
      </c>
      <c r="G3" s="151" t="s">
        <v>199</v>
      </c>
      <c r="H3" s="117" t="s">
        <v>33</v>
      </c>
      <c r="I3" s="23" t="s">
        <v>199</v>
      </c>
      <c r="J3" s="150" t="s">
        <v>33</v>
      </c>
      <c r="K3" s="151" t="s">
        <v>199</v>
      </c>
      <c r="L3" s="322" t="s">
        <v>33</v>
      </c>
      <c r="M3" s="206" t="s">
        <v>199</v>
      </c>
      <c r="N3" s="234" t="s">
        <v>33</v>
      </c>
      <c r="O3" s="235" t="s">
        <v>199</v>
      </c>
      <c r="P3" s="368" t="s">
        <v>33</v>
      </c>
      <c r="Q3" s="235" t="s">
        <v>199</v>
      </c>
      <c r="R3" s="416" t="s">
        <v>33</v>
      </c>
      <c r="S3" s="417" t="s">
        <v>199</v>
      </c>
      <c r="T3" s="368" t="s">
        <v>33</v>
      </c>
      <c r="U3" s="503" t="s">
        <v>199</v>
      </c>
      <c r="V3" s="234" t="s">
        <v>33</v>
      </c>
      <c r="W3" s="503" t="s">
        <v>199</v>
      </c>
      <c r="X3" s="416" t="s">
        <v>33</v>
      </c>
      <c r="Y3" s="417" t="s">
        <v>199</v>
      </c>
      <c r="Z3" s="417" t="s">
        <v>405</v>
      </c>
      <c r="AA3" s="368" t="s">
        <v>33</v>
      </c>
      <c r="AB3" s="503" t="s">
        <v>199</v>
      </c>
      <c r="AC3" s="503" t="s">
        <v>405</v>
      </c>
      <c r="AD3" s="416" t="s">
        <v>33</v>
      </c>
      <c r="AE3" s="417" t="s">
        <v>199</v>
      </c>
      <c r="AF3" s="417" t="s">
        <v>405</v>
      </c>
    </row>
    <row r="4" spans="1:34" customFormat="1" ht="15" customHeight="1" x14ac:dyDescent="0.25">
      <c r="A4" s="93"/>
      <c r="B4" s="91"/>
      <c r="C4" s="39"/>
      <c r="D4" s="24"/>
      <c r="E4" s="25"/>
      <c r="F4" s="152"/>
      <c r="G4" s="153"/>
      <c r="H4" s="118"/>
      <c r="I4" s="25"/>
      <c r="J4" s="152"/>
      <c r="K4" s="153"/>
      <c r="L4" s="323"/>
      <c r="M4" s="111"/>
      <c r="N4" s="236"/>
      <c r="O4" s="237"/>
      <c r="P4" s="369" t="s">
        <v>198</v>
      </c>
      <c r="Q4" s="237"/>
      <c r="R4" s="418"/>
      <c r="S4" s="419"/>
      <c r="T4" s="369"/>
      <c r="U4" s="237"/>
      <c r="V4" s="236"/>
      <c r="W4" s="237"/>
      <c r="X4" s="418"/>
      <c r="Y4" s="419"/>
      <c r="Z4" s="419"/>
      <c r="AA4" s="369"/>
      <c r="AB4" s="237"/>
      <c r="AC4" s="237"/>
      <c r="AD4" s="418"/>
      <c r="AE4" s="419"/>
      <c r="AF4" s="419"/>
    </row>
    <row r="5" spans="1:34" ht="18" customHeight="1" x14ac:dyDescent="0.25">
      <c r="A5" s="95">
        <v>1</v>
      </c>
      <c r="B5" s="96"/>
      <c r="C5" s="75" t="s">
        <v>200</v>
      </c>
      <c r="D5" s="48">
        <v>6587247</v>
      </c>
      <c r="E5" s="49">
        <f>D5/D$9</f>
        <v>0.98675753631290364</v>
      </c>
      <c r="F5" s="154">
        <v>6191501</v>
      </c>
      <c r="G5" s="314">
        <f>F5/F$9</f>
        <v>0.9556552276176985</v>
      </c>
      <c r="H5" s="119">
        <v>6884586</v>
      </c>
      <c r="I5" s="49">
        <f>H5/H$9</f>
        <v>0.99183334238546739</v>
      </c>
      <c r="J5" s="154">
        <v>6995469</v>
      </c>
      <c r="K5" s="155">
        <f>J5/J$9</f>
        <v>0.97405416213496132</v>
      </c>
      <c r="L5" s="324">
        <v>6308056</v>
      </c>
      <c r="M5" s="207">
        <f>L5/L$9</f>
        <v>0.92678724882532815</v>
      </c>
      <c r="N5" s="238">
        <f>4559404-1829597+6392545-2351533+341384-99332+5596-137121</f>
        <v>6881346</v>
      </c>
      <c r="O5" s="112">
        <f>N5/N$9</f>
        <v>0.9565574337915107</v>
      </c>
      <c r="P5" s="370">
        <f>4757021-2031020+5300962-1941332+480121-152782+5420</f>
        <v>6418390</v>
      </c>
      <c r="Q5" s="371">
        <f>P5/P$9</f>
        <v>0.98199965391893962</v>
      </c>
      <c r="R5" s="420">
        <v>6918523</v>
      </c>
      <c r="S5" s="494">
        <f>R5/R$9</f>
        <v>0.97526691296943502</v>
      </c>
      <c r="T5" s="544">
        <v>5415777</v>
      </c>
      <c r="U5" s="371">
        <f>T5/T$9</f>
        <v>0.94914936696526264</v>
      </c>
      <c r="V5" s="238">
        <v>6630000</v>
      </c>
      <c r="W5" s="483">
        <f>V5/V$9</f>
        <v>0.96017378711078927</v>
      </c>
      <c r="X5" s="420">
        <v>6560000</v>
      </c>
      <c r="Y5" s="469">
        <f>X5/X$9</f>
        <v>0.94934876989869754</v>
      </c>
      <c r="Z5" s="520">
        <f t="shared" ref="Z5:Z12" si="0">ROUND((X5-V5)/V5,4)</f>
        <v>-1.06E-2</v>
      </c>
      <c r="AA5" s="370">
        <v>6640000</v>
      </c>
      <c r="AB5" s="483">
        <f>AA5/AA$9</f>
        <v>0.92997198879551823</v>
      </c>
      <c r="AC5" s="529">
        <f>ROUND((AA5-X5)/X5,4)</f>
        <v>1.2200000000000001E-2</v>
      </c>
      <c r="AD5" s="420">
        <v>6775000</v>
      </c>
      <c r="AE5" s="469">
        <f>AD5/AD$9</f>
        <v>0.90635451505016718</v>
      </c>
      <c r="AF5" s="520">
        <f>ROUND((AD5-AA5)/AA5,4)</f>
        <v>2.0299999999999999E-2</v>
      </c>
    </row>
    <row r="6" spans="1:34" ht="18" customHeight="1" x14ac:dyDescent="0.25">
      <c r="A6" s="95">
        <v>2</v>
      </c>
      <c r="B6" s="96"/>
      <c r="C6" s="75" t="s">
        <v>287</v>
      </c>
      <c r="D6" s="48">
        <v>34586.04</v>
      </c>
      <c r="E6" s="49">
        <f t="shared" ref="E6:G8" si="1">D6/D$9</f>
        <v>5.180925449010723E-3</v>
      </c>
      <c r="F6" s="154">
        <v>56618</v>
      </c>
      <c r="G6" s="314">
        <f t="shared" si="1"/>
        <v>8.7389613079702083E-3</v>
      </c>
      <c r="H6" s="119">
        <v>46002</v>
      </c>
      <c r="I6" s="49">
        <f>H6/H$9</f>
        <v>6.6273146150569208E-3</v>
      </c>
      <c r="J6" s="154">
        <v>167381</v>
      </c>
      <c r="K6" s="155">
        <f>J6/J$9</f>
        <v>2.3306251476821919E-2</v>
      </c>
      <c r="L6" s="324">
        <v>187796</v>
      </c>
      <c r="M6" s="207">
        <f>L6/L$9</f>
        <v>2.7591216403342222E-2</v>
      </c>
      <c r="N6" s="238">
        <f>345574-140766-83681+33838</f>
        <v>154965</v>
      </c>
      <c r="O6" s="112">
        <f>N6/N$9</f>
        <v>2.1541268630802964E-2</v>
      </c>
      <c r="P6" s="370">
        <f>244977-108237-60425+24533</f>
        <v>100848</v>
      </c>
      <c r="Q6" s="371">
        <f>P6/P$9</f>
        <v>1.5429523774407167E-2</v>
      </c>
      <c r="R6" s="420">
        <v>100273</v>
      </c>
      <c r="S6" s="494">
        <f>R6/R$9</f>
        <v>1.4134944577648172E-2</v>
      </c>
      <c r="T6" s="544">
        <v>129774</v>
      </c>
      <c r="U6" s="371">
        <f>T6/T$9</f>
        <v>2.2743718943477546E-2</v>
      </c>
      <c r="V6" s="238">
        <v>100000</v>
      </c>
      <c r="W6" s="483">
        <f>V6/V$9</f>
        <v>1.4482259232440261E-2</v>
      </c>
      <c r="X6" s="420">
        <v>100000</v>
      </c>
      <c r="Y6" s="469">
        <f>X6/X$9</f>
        <v>1.4471780028943559E-2</v>
      </c>
      <c r="Z6" s="520">
        <f t="shared" si="0"/>
        <v>0</v>
      </c>
      <c r="AA6" s="370">
        <v>100000</v>
      </c>
      <c r="AB6" s="483">
        <f>AA6/AA$9</f>
        <v>1.4005602240896359E-2</v>
      </c>
      <c r="AC6" s="529">
        <f t="shared" ref="AC6:AC68" si="2">ROUND((AA6-X6)/X6,4)</f>
        <v>0</v>
      </c>
      <c r="AD6" s="420">
        <v>100000</v>
      </c>
      <c r="AE6" s="469">
        <f>AD6/AD$9</f>
        <v>1.3377926421404682E-2</v>
      </c>
      <c r="AF6" s="520">
        <f t="shared" ref="AF6:AF68" si="3">ROUND((AD6-AA6)/AA6,4)</f>
        <v>0</v>
      </c>
    </row>
    <row r="7" spans="1:34" ht="18" customHeight="1" x14ac:dyDescent="0.25">
      <c r="A7" s="95">
        <v>3</v>
      </c>
      <c r="B7" s="96"/>
      <c r="C7" s="75" t="s">
        <v>292</v>
      </c>
      <c r="D7" s="48">
        <v>0</v>
      </c>
      <c r="E7" s="49">
        <f t="shared" si="1"/>
        <v>0</v>
      </c>
      <c r="F7" s="154">
        <v>202642</v>
      </c>
      <c r="G7" s="314">
        <f t="shared" si="1"/>
        <v>3.1277696092580076E-2</v>
      </c>
      <c r="H7" s="119">
        <v>0</v>
      </c>
      <c r="I7" s="49">
        <f>H7/H$9</f>
        <v>0</v>
      </c>
      <c r="J7" s="154">
        <v>0</v>
      </c>
      <c r="K7" s="155">
        <f>J7/J$9</f>
        <v>0</v>
      </c>
      <c r="L7" s="324">
        <v>297488</v>
      </c>
      <c r="M7" s="207">
        <f>L7/L$9</f>
        <v>4.3707298267255272E-2</v>
      </c>
      <c r="N7" s="238">
        <v>137121</v>
      </c>
      <c r="O7" s="112">
        <f>N7/N$9</f>
        <v>1.9060822094823564E-2</v>
      </c>
      <c r="P7" s="370">
        <v>0</v>
      </c>
      <c r="Q7" s="371">
        <f>P7/P$9</f>
        <v>0</v>
      </c>
      <c r="R7" s="420">
        <v>0</v>
      </c>
      <c r="S7" s="494">
        <f>R7/R$9</f>
        <v>0</v>
      </c>
      <c r="T7" s="544">
        <v>0</v>
      </c>
      <c r="U7" s="371">
        <f>T7/T$9</f>
        <v>0</v>
      </c>
      <c r="V7" s="238">
        <v>100000</v>
      </c>
      <c r="W7" s="483">
        <f>V7/V$9</f>
        <v>1.4482259232440261E-2</v>
      </c>
      <c r="X7" s="420">
        <v>0</v>
      </c>
      <c r="Y7" s="469">
        <f>X7/X$9</f>
        <v>0</v>
      </c>
      <c r="Z7" s="520">
        <f t="shared" si="0"/>
        <v>-1</v>
      </c>
      <c r="AA7" s="370">
        <v>0</v>
      </c>
      <c r="AB7" s="483">
        <f>AA7/AA$9</f>
        <v>0</v>
      </c>
      <c r="AC7" s="529" t="e">
        <f t="shared" si="2"/>
        <v>#DIV/0!</v>
      </c>
      <c r="AD7" s="420">
        <v>0</v>
      </c>
      <c r="AE7" s="469">
        <f>AD7/AD$9</f>
        <v>0</v>
      </c>
      <c r="AF7" s="520" t="e">
        <f t="shared" si="3"/>
        <v>#DIV/0!</v>
      </c>
    </row>
    <row r="8" spans="1:34" ht="18" customHeight="1" x14ac:dyDescent="0.25">
      <c r="A8" s="302">
        <v>4</v>
      </c>
      <c r="B8" s="306"/>
      <c r="C8" s="76" t="s">
        <v>315</v>
      </c>
      <c r="D8" s="50">
        <v>53816</v>
      </c>
      <c r="E8" s="49">
        <f t="shared" si="1"/>
        <v>8.0615382380856866E-3</v>
      </c>
      <c r="F8" s="156">
        <v>28041</v>
      </c>
      <c r="G8" s="314">
        <f t="shared" si="1"/>
        <v>4.3281149817512559E-3</v>
      </c>
      <c r="H8" s="120">
        <v>10685</v>
      </c>
      <c r="I8" s="49">
        <f>H8/H$9</f>
        <v>1.5393429994757445E-3</v>
      </c>
      <c r="J8" s="156">
        <v>18957</v>
      </c>
      <c r="K8" s="155">
        <f>J8/J$9</f>
        <v>2.6395863882167818E-3</v>
      </c>
      <c r="L8" s="325">
        <v>13029</v>
      </c>
      <c r="M8" s="207">
        <f>L8/L$9</f>
        <v>1.9142365040743456E-3</v>
      </c>
      <c r="N8" s="239">
        <f>19740+694</f>
        <v>20434</v>
      </c>
      <c r="O8" s="112">
        <f>N8/N$9</f>
        <v>2.8404754828627614E-3</v>
      </c>
      <c r="P8" s="372">
        <f>16165+638</f>
        <v>16803</v>
      </c>
      <c r="Q8" s="371">
        <f>P8/P$9</f>
        <v>2.5708223066532171E-3</v>
      </c>
      <c r="R8" s="421">
        <v>75183</v>
      </c>
      <c r="S8" s="494">
        <f>R8/R$9</f>
        <v>1.0598142452916763E-2</v>
      </c>
      <c r="T8" s="545">
        <v>160376</v>
      </c>
      <c r="U8" s="371">
        <f>T8/T$9</f>
        <v>2.8106914091259844E-2</v>
      </c>
      <c r="V8" s="239">
        <v>75000</v>
      </c>
      <c r="W8" s="483">
        <f>V8/V$9</f>
        <v>1.0861694424330196E-2</v>
      </c>
      <c r="X8" s="421">
        <v>250000</v>
      </c>
      <c r="Y8" s="469">
        <f>X8/X$9</f>
        <v>3.6179450072358899E-2</v>
      </c>
      <c r="Z8" s="523">
        <f t="shared" si="0"/>
        <v>2.3332999999999999</v>
      </c>
      <c r="AA8" s="372">
        <v>400000</v>
      </c>
      <c r="AB8" s="483">
        <f>AA8/AA$9</f>
        <v>5.6022408963585436E-2</v>
      </c>
      <c r="AC8" s="530">
        <f t="shared" si="2"/>
        <v>0.6</v>
      </c>
      <c r="AD8" s="421">
        <v>600000</v>
      </c>
      <c r="AE8" s="469">
        <f>AD8/AD$9</f>
        <v>8.0267558528428096E-2</v>
      </c>
      <c r="AF8" s="523">
        <f t="shared" si="3"/>
        <v>0.5</v>
      </c>
    </row>
    <row r="9" spans="1:34" ht="18" customHeight="1" x14ac:dyDescent="0.25">
      <c r="A9" s="312">
        <v>5</v>
      </c>
      <c r="B9" s="313"/>
      <c r="C9" s="77" t="s">
        <v>391</v>
      </c>
      <c r="D9" s="26">
        <f>SUM(D5:D8)</f>
        <v>6675649.04</v>
      </c>
      <c r="E9" s="27">
        <f>1-E10</f>
        <v>1.2114573416819407</v>
      </c>
      <c r="F9" s="157">
        <f>SUM(F5:F8)</f>
        <v>6478802</v>
      </c>
      <c r="G9" s="315">
        <f>1-G10</f>
        <v>1.2109453260031715</v>
      </c>
      <c r="H9" s="121">
        <f>SUM(H5:H8)</f>
        <v>6941273</v>
      </c>
      <c r="I9" s="27">
        <f>1-I10</f>
        <v>1.2141209544704552</v>
      </c>
      <c r="J9" s="157">
        <f>SUM(J5:J8)</f>
        <v>7181807</v>
      </c>
      <c r="K9" s="158">
        <f>1-K10</f>
        <v>1.2219129531049777</v>
      </c>
      <c r="L9" s="326">
        <f>SUM(L5:L8)</f>
        <v>6806369</v>
      </c>
      <c r="M9" s="208">
        <f>1-M10</f>
        <v>1.2461025842119344</v>
      </c>
      <c r="N9" s="240">
        <f>SUM(N5:N8)</f>
        <v>7193866</v>
      </c>
      <c r="O9" s="113">
        <f>1-O10</f>
        <v>1.2620864775629683</v>
      </c>
      <c r="P9" s="373">
        <f>SUM(P5:P8)</f>
        <v>6536041</v>
      </c>
      <c r="Q9" s="374">
        <f>1-Q10</f>
        <v>1.2562445676212863</v>
      </c>
      <c r="R9" s="422">
        <f>SUM(R5:R8)</f>
        <v>7093979</v>
      </c>
      <c r="S9" s="493">
        <f>1-S10</f>
        <v>1.2369967545717291</v>
      </c>
      <c r="T9" s="373">
        <f>SUM(T5:T8)</f>
        <v>5705927</v>
      </c>
      <c r="U9" s="374">
        <f>1-U10</f>
        <v>1.2084027713638819</v>
      </c>
      <c r="V9" s="240">
        <f>SUM(V5:V8)</f>
        <v>6905000</v>
      </c>
      <c r="W9" s="484">
        <f>1-W10</f>
        <v>1.2302679217958001</v>
      </c>
      <c r="X9" s="422">
        <f>SUM(X5:X8)</f>
        <v>6910000</v>
      </c>
      <c r="Y9" s="470">
        <f>1-Y10</f>
        <v>1.231548480463097</v>
      </c>
      <c r="Z9" s="526">
        <f t="shared" si="0"/>
        <v>6.9999999999999999E-4</v>
      </c>
      <c r="AA9" s="373">
        <f>SUM(AA5:AA8)</f>
        <v>7140000</v>
      </c>
      <c r="AB9" s="484">
        <f>1-AB10</f>
        <v>1.2275910364145659</v>
      </c>
      <c r="AC9" s="531">
        <f t="shared" si="2"/>
        <v>3.3300000000000003E-2</v>
      </c>
      <c r="AD9" s="422">
        <f>SUM(AD5:AD8)</f>
        <v>7475000</v>
      </c>
      <c r="AE9" s="470">
        <f>1-AE10</f>
        <v>1.2207357859531773</v>
      </c>
      <c r="AF9" s="526">
        <f t="shared" si="3"/>
        <v>4.6899999999999997E-2</v>
      </c>
    </row>
    <row r="10" spans="1:34" ht="18" customHeight="1" x14ac:dyDescent="0.25">
      <c r="A10" s="94">
        <v>6</v>
      </c>
      <c r="B10" s="307"/>
      <c r="C10" s="74" t="s">
        <v>394</v>
      </c>
      <c r="D10" s="308">
        <v>-1411615</v>
      </c>
      <c r="E10" s="49">
        <f>D10/D$9</f>
        <v>-0.21145734168194077</v>
      </c>
      <c r="F10" s="309">
        <v>-1366673</v>
      </c>
      <c r="G10" s="314">
        <f>F10/F$9</f>
        <v>-0.21094532600317156</v>
      </c>
      <c r="H10" s="310">
        <v>-1486272</v>
      </c>
      <c r="I10" s="49">
        <f>H10/H$9</f>
        <v>-0.2141209544704552</v>
      </c>
      <c r="J10" s="309">
        <v>-1593736</v>
      </c>
      <c r="K10" s="155">
        <f>J10/J$9</f>
        <v>-0.22191295310497761</v>
      </c>
      <c r="L10" s="327">
        <v>-1675065</v>
      </c>
      <c r="M10" s="207">
        <f>L10/L$9</f>
        <v>-0.24610258421193443</v>
      </c>
      <c r="N10" s="311">
        <f>-(1122117-450655+1694382-562270+107318-25477)</f>
        <v>-1885415</v>
      </c>
      <c r="O10" s="112">
        <f>N10/N$9</f>
        <v>-0.26208647756296821</v>
      </c>
      <c r="P10" s="375">
        <f>-1012238+433866-1460377+470760-148583+41747</f>
        <v>-1674825</v>
      </c>
      <c r="Q10" s="371">
        <f>P10/P$9</f>
        <v>-0.25624456762128633</v>
      </c>
      <c r="R10" s="423">
        <v>-1681250</v>
      </c>
      <c r="S10" s="494">
        <f>R10/R$9</f>
        <v>-0.23699675457172906</v>
      </c>
      <c r="T10" s="548">
        <v>-1189131</v>
      </c>
      <c r="U10" s="371">
        <f>T10/T$9</f>
        <v>-0.2084027713638818</v>
      </c>
      <c r="V10" s="311">
        <v>-1590000</v>
      </c>
      <c r="W10" s="483">
        <f>V10/V$9</f>
        <v>-0.23026792179580013</v>
      </c>
      <c r="X10" s="423">
        <v>-1600000</v>
      </c>
      <c r="Y10" s="469">
        <f>X10/X$9</f>
        <v>-0.23154848046309695</v>
      </c>
      <c r="Z10" s="528">
        <f t="shared" si="0"/>
        <v>6.3E-3</v>
      </c>
      <c r="AA10" s="375">
        <v>-1625000</v>
      </c>
      <c r="AB10" s="483">
        <f>AA10/AA$9</f>
        <v>-0.22759103641456582</v>
      </c>
      <c r="AC10" s="532">
        <f t="shared" si="2"/>
        <v>1.5599999999999999E-2</v>
      </c>
      <c r="AD10" s="423">
        <v>-1650000</v>
      </c>
      <c r="AE10" s="469">
        <f>AD10/AD$9</f>
        <v>-0.22073578595317725</v>
      </c>
      <c r="AF10" s="528">
        <f t="shared" si="3"/>
        <v>1.54E-2</v>
      </c>
    </row>
    <row r="11" spans="1:34" ht="18" customHeight="1" x14ac:dyDescent="0.25">
      <c r="A11" s="304">
        <v>7</v>
      </c>
      <c r="B11" s="307"/>
      <c r="C11" s="73" t="s">
        <v>393</v>
      </c>
      <c r="D11" s="352"/>
      <c r="E11" s="353"/>
      <c r="F11" s="354"/>
      <c r="G11" s="355"/>
      <c r="H11" s="356"/>
      <c r="I11" s="353"/>
      <c r="J11" s="354"/>
      <c r="K11" s="357"/>
      <c r="L11" s="358"/>
      <c r="M11" s="359"/>
      <c r="N11" s="360">
        <v>-19000</v>
      </c>
      <c r="O11" s="361"/>
      <c r="P11" s="376">
        <v>0</v>
      </c>
      <c r="Q11" s="377"/>
      <c r="R11" s="424">
        <v>-25000</v>
      </c>
      <c r="S11" s="495"/>
      <c r="T11" s="549">
        <v>-9000</v>
      </c>
      <c r="U11" s="377"/>
      <c r="V11" s="360">
        <v>-15000</v>
      </c>
      <c r="W11" s="485">
        <f>V11/V$9</f>
        <v>-2.1723388848660392E-3</v>
      </c>
      <c r="X11" s="424">
        <v>-10000</v>
      </c>
      <c r="Y11" s="471">
        <f>X11/X$9</f>
        <v>-1.4471780028943559E-3</v>
      </c>
      <c r="Z11" s="523">
        <f t="shared" si="0"/>
        <v>-0.33329999999999999</v>
      </c>
      <c r="AA11" s="376">
        <v>-15000</v>
      </c>
      <c r="AB11" s="485">
        <f>AA11/AA$9</f>
        <v>-2.1008403361344537E-3</v>
      </c>
      <c r="AC11" s="530">
        <f t="shared" si="2"/>
        <v>0.5</v>
      </c>
      <c r="AD11" s="424">
        <v>-25000</v>
      </c>
      <c r="AE11" s="471">
        <f>AD11/AD$9</f>
        <v>-3.3444816053511705E-3</v>
      </c>
      <c r="AF11" s="523">
        <f t="shared" si="3"/>
        <v>0.66669999999999996</v>
      </c>
    </row>
    <row r="12" spans="1:34" ht="18" customHeight="1" x14ac:dyDescent="0.25">
      <c r="A12" s="589">
        <v>8</v>
      </c>
      <c r="B12" s="590"/>
      <c r="C12" s="591" t="s">
        <v>201</v>
      </c>
      <c r="D12" s="592">
        <f t="shared" ref="D12:S12" si="4">SUM(D9:D10)</f>
        <v>5264034.04</v>
      </c>
      <c r="E12" s="593">
        <f t="shared" si="4"/>
        <v>1</v>
      </c>
      <c r="F12" s="594">
        <f t="shared" si="4"/>
        <v>5112129</v>
      </c>
      <c r="G12" s="593">
        <f t="shared" si="4"/>
        <v>1</v>
      </c>
      <c r="H12" s="595">
        <f t="shared" si="4"/>
        <v>5455001</v>
      </c>
      <c r="I12" s="593">
        <f t="shared" si="4"/>
        <v>1</v>
      </c>
      <c r="J12" s="594">
        <f t="shared" si="4"/>
        <v>5588071</v>
      </c>
      <c r="K12" s="596">
        <f t="shared" si="4"/>
        <v>1</v>
      </c>
      <c r="L12" s="594">
        <f t="shared" si="4"/>
        <v>5131304</v>
      </c>
      <c r="M12" s="596">
        <f t="shared" si="4"/>
        <v>1</v>
      </c>
      <c r="N12" s="597">
        <f>SUM(N9:N11)</f>
        <v>5289451</v>
      </c>
      <c r="O12" s="598">
        <f>SUM(O9:O10)</f>
        <v>1</v>
      </c>
      <c r="P12" s="599">
        <f>SUM(P9:P11)</f>
        <v>4861216</v>
      </c>
      <c r="Q12" s="596">
        <f>SUM(Q9:Q10)</f>
        <v>1</v>
      </c>
      <c r="R12" s="599">
        <f>SUM(R9:R11)</f>
        <v>5387729</v>
      </c>
      <c r="S12" s="596">
        <f t="shared" si="4"/>
        <v>1</v>
      </c>
      <c r="T12" s="599">
        <f>SUM(T9:T11)</f>
        <v>4507796</v>
      </c>
      <c r="U12" s="596">
        <f t="shared" ref="U12" si="5">SUM(U9:U10)</f>
        <v>1</v>
      </c>
      <c r="V12" s="597">
        <f>SUM(V9:V11)</f>
        <v>5300000</v>
      </c>
      <c r="W12" s="598">
        <f>SUM(W9:W10)</f>
        <v>1</v>
      </c>
      <c r="X12" s="599">
        <f>SUM(X9:X11)</f>
        <v>5300000</v>
      </c>
      <c r="Y12" s="598">
        <f>SUM(Y9:Y10)</f>
        <v>1</v>
      </c>
      <c r="Z12" s="600">
        <f t="shared" si="0"/>
        <v>0</v>
      </c>
      <c r="AA12" s="599">
        <f>SUM(AA9:AA11)</f>
        <v>5500000</v>
      </c>
      <c r="AB12" s="598">
        <f>SUM(AB9:AB10)</f>
        <v>1</v>
      </c>
      <c r="AC12" s="600">
        <f t="shared" si="2"/>
        <v>3.7699999999999997E-2</v>
      </c>
      <c r="AD12" s="599">
        <f>SUM(AD9:AD11)</f>
        <v>5800000</v>
      </c>
      <c r="AE12" s="598">
        <f>SUM(AE9:AE10)</f>
        <v>1</v>
      </c>
      <c r="AF12" s="600">
        <f t="shared" si="3"/>
        <v>5.45E-2</v>
      </c>
    </row>
    <row r="13" spans="1:34" ht="15" customHeight="1" x14ac:dyDescent="0.25">
      <c r="A13" s="94">
        <v>9</v>
      </c>
      <c r="B13" s="96"/>
      <c r="C13" s="73"/>
      <c r="D13" s="28"/>
      <c r="E13" s="29"/>
      <c r="F13" s="159"/>
      <c r="G13" s="160"/>
      <c r="H13" s="122"/>
      <c r="I13" s="29"/>
      <c r="J13" s="159"/>
      <c r="K13" s="160"/>
      <c r="L13" s="328"/>
      <c r="M13" s="209"/>
      <c r="N13" s="241"/>
      <c r="O13" s="242"/>
      <c r="P13" s="378"/>
      <c r="Q13" s="242"/>
      <c r="R13" s="425"/>
      <c r="S13" s="426"/>
      <c r="T13" s="378"/>
      <c r="U13" s="504"/>
      <c r="V13" s="241"/>
      <c r="W13" s="504"/>
      <c r="X13" s="425"/>
      <c r="Y13" s="426"/>
      <c r="Z13" s="426"/>
      <c r="AA13" s="378"/>
      <c r="AB13" s="504"/>
      <c r="AC13" s="532"/>
      <c r="AD13" s="425"/>
      <c r="AE13" s="426"/>
      <c r="AF13" s="528"/>
    </row>
    <row r="14" spans="1:34" ht="18" customHeight="1" x14ac:dyDescent="0.25">
      <c r="A14" s="95">
        <v>10</v>
      </c>
      <c r="B14" s="96" t="s">
        <v>332</v>
      </c>
      <c r="C14" s="75" t="s">
        <v>202</v>
      </c>
      <c r="D14" s="53">
        <f>382792+3548</f>
        <v>386340</v>
      </c>
      <c r="E14" s="54">
        <f t="shared" ref="E14:E19" si="6">D14/D$12</f>
        <v>7.3392382546219243E-2</v>
      </c>
      <c r="F14" s="165">
        <v>333709</v>
      </c>
      <c r="G14" s="164">
        <f t="shared" ref="G14:G19" si="7">F14/F$12</f>
        <v>6.5277891070432692E-2</v>
      </c>
      <c r="H14" s="125">
        <v>323840</v>
      </c>
      <c r="I14" s="54">
        <f t="shared" ref="I14:I20" si="8">H14/H$12</f>
        <v>5.93657086405667E-2</v>
      </c>
      <c r="J14" s="165">
        <v>371607</v>
      </c>
      <c r="K14" s="164">
        <f t="shared" ref="K14:K20" si="9">J14/J$12</f>
        <v>6.6500049838307346E-2</v>
      </c>
      <c r="L14" s="329">
        <v>312726</v>
      </c>
      <c r="M14" s="211">
        <f t="shared" ref="M14:M20" si="10">L14/L$12</f>
        <v>6.094474231111624E-2</v>
      </c>
      <c r="N14" s="243">
        <f>230056+78663</f>
        <v>308719</v>
      </c>
      <c r="O14" s="244">
        <f t="shared" ref="O14:O20" si="11">N14/N$12</f>
        <v>5.8365036371449512E-2</v>
      </c>
      <c r="P14" s="379">
        <f>320103+43793</f>
        <v>363896</v>
      </c>
      <c r="Q14" s="244">
        <f t="shared" ref="Q14:Q20" si="12">P14/P$12</f>
        <v>7.4856990514307525E-2</v>
      </c>
      <c r="R14" s="427">
        <v>341049</v>
      </c>
      <c r="S14" s="428">
        <f t="shared" ref="S14:S20" si="13">R14/R$12</f>
        <v>6.3301068038128863E-2</v>
      </c>
      <c r="T14" s="550">
        <v>173597</v>
      </c>
      <c r="U14" s="505">
        <f t="shared" ref="U14:U20" si="14">T14/T$12</f>
        <v>3.8510393992984601E-2</v>
      </c>
      <c r="V14" s="243">
        <f>300000-20000-30000-24780</f>
        <v>225220</v>
      </c>
      <c r="W14" s="505">
        <f t="shared" ref="W14:W20" si="15">V14/V$12</f>
        <v>4.2494339622641507E-2</v>
      </c>
      <c r="X14" s="427">
        <f>225000-25000</f>
        <v>200000</v>
      </c>
      <c r="Y14" s="428">
        <f t="shared" ref="Y14:Y20" si="16">X14/X$12</f>
        <v>3.7735849056603772E-2</v>
      </c>
      <c r="Z14" s="520">
        <f>ROUND((X14-V14)/V14,4)</f>
        <v>-0.112</v>
      </c>
      <c r="AA14" s="379">
        <v>210000</v>
      </c>
      <c r="AB14" s="505">
        <f t="shared" ref="AB14:AB20" si="17">AA14/AA$12</f>
        <v>3.8181818181818185E-2</v>
      </c>
      <c r="AC14" s="529">
        <f t="shared" si="2"/>
        <v>0.05</v>
      </c>
      <c r="AD14" s="427">
        <v>220500</v>
      </c>
      <c r="AE14" s="428">
        <f t="shared" ref="AE14:AE20" si="18">AD14/AD$12</f>
        <v>3.8017241379310347E-2</v>
      </c>
      <c r="AF14" s="520">
        <f t="shared" si="3"/>
        <v>0.05</v>
      </c>
    </row>
    <row r="15" spans="1:34" ht="18" customHeight="1" x14ac:dyDescent="0.25">
      <c r="A15" s="94">
        <v>11</v>
      </c>
      <c r="B15" s="96" t="s">
        <v>333</v>
      </c>
      <c r="C15" s="75" t="s">
        <v>281</v>
      </c>
      <c r="D15" s="67">
        <f>-72065</f>
        <v>-72065</v>
      </c>
      <c r="E15" s="54">
        <f t="shared" si="6"/>
        <v>-1.3690071046729022E-2</v>
      </c>
      <c r="F15" s="163">
        <v>-49177</v>
      </c>
      <c r="G15" s="164">
        <f t="shared" si="7"/>
        <v>-9.6196711780942926E-3</v>
      </c>
      <c r="H15" s="124">
        <v>-63384</v>
      </c>
      <c r="I15" s="54">
        <f t="shared" si="8"/>
        <v>-1.1619429583972579E-2</v>
      </c>
      <c r="J15" s="163">
        <v>-52476</v>
      </c>
      <c r="K15" s="164">
        <f t="shared" si="9"/>
        <v>-9.3907181923780138E-3</v>
      </c>
      <c r="L15" s="330">
        <v>-45839</v>
      </c>
      <c r="M15" s="211">
        <f t="shared" si="10"/>
        <v>-8.9332068417696548E-3</v>
      </c>
      <c r="N15" s="245">
        <f>-77200-37362</f>
        <v>-114562</v>
      </c>
      <c r="O15" s="244">
        <f t="shared" si="11"/>
        <v>-2.1658580446250471E-2</v>
      </c>
      <c r="P15" s="380">
        <f>-170161-12770</f>
        <v>-182931</v>
      </c>
      <c r="Q15" s="244">
        <f t="shared" si="12"/>
        <v>-3.7630708036836873E-2</v>
      </c>
      <c r="R15" s="429">
        <v>-198137</v>
      </c>
      <c r="S15" s="428">
        <f t="shared" si="13"/>
        <v>-3.6775606196970935E-2</v>
      </c>
      <c r="T15" s="550">
        <v>-96530</v>
      </c>
      <c r="U15" s="505">
        <f t="shared" si="14"/>
        <v>-2.1414012524080504E-2</v>
      </c>
      <c r="V15" s="245">
        <v>-90000</v>
      </c>
      <c r="W15" s="505">
        <f t="shared" si="15"/>
        <v>-1.6981132075471698E-2</v>
      </c>
      <c r="X15" s="429">
        <v>-100000</v>
      </c>
      <c r="Y15" s="428">
        <f t="shared" si="16"/>
        <v>-1.8867924528301886E-2</v>
      </c>
      <c r="Z15" s="520">
        <f t="shared" ref="Z15:Z19" si="19">ROUND((X15-V15)/V15,4)</f>
        <v>0.1111</v>
      </c>
      <c r="AA15" s="380">
        <v>-100000</v>
      </c>
      <c r="AB15" s="505">
        <f t="shared" si="17"/>
        <v>-1.8181818181818181E-2</v>
      </c>
      <c r="AC15" s="529">
        <f t="shared" si="2"/>
        <v>0</v>
      </c>
      <c r="AD15" s="429">
        <v>-100000</v>
      </c>
      <c r="AE15" s="428">
        <f t="shared" si="18"/>
        <v>-1.7241379310344827E-2</v>
      </c>
      <c r="AF15" s="520">
        <f t="shared" si="3"/>
        <v>0</v>
      </c>
    </row>
    <row r="16" spans="1:34" ht="18" customHeight="1" x14ac:dyDescent="0.25">
      <c r="A16" s="95">
        <v>12</v>
      </c>
      <c r="B16" s="96" t="s">
        <v>334</v>
      </c>
      <c r="C16" s="75" t="s">
        <v>330</v>
      </c>
      <c r="D16" s="53">
        <f>955076+28065+6661</f>
        <v>989802</v>
      </c>
      <c r="E16" s="54">
        <f t="shared" si="6"/>
        <v>0.18803107891756718</v>
      </c>
      <c r="F16" s="165">
        <f>877527+7952+9799</f>
        <v>895278</v>
      </c>
      <c r="G16" s="164">
        <f t="shared" si="7"/>
        <v>0.175128209792828</v>
      </c>
      <c r="H16" s="125">
        <f>1027036+13182+11329</f>
        <v>1051547</v>
      </c>
      <c r="I16" s="54">
        <f t="shared" si="8"/>
        <v>0.19276751736617465</v>
      </c>
      <c r="J16" s="165">
        <f>1118456+993+11324+7077</f>
        <v>1137850</v>
      </c>
      <c r="K16" s="164">
        <f t="shared" si="9"/>
        <v>0.20362124962263364</v>
      </c>
      <c r="L16" s="329">
        <f>947418+10315+6463</f>
        <v>964196</v>
      </c>
      <c r="M16" s="211">
        <f t="shared" si="10"/>
        <v>0.18790467296422117</v>
      </c>
      <c r="N16" s="243">
        <f>338290+17558+3760+1769+550691+7119+3555+115747+464+495+81+6655+12035+5650</f>
        <v>1063869</v>
      </c>
      <c r="O16" s="244">
        <f t="shared" si="11"/>
        <v>0.20113032524547445</v>
      </c>
      <c r="P16" s="379">
        <f>433140+22618+2985+10008+395429+7089+3556+99537+56+10858+132+71+105+5382</f>
        <v>990966</v>
      </c>
      <c r="Q16" s="244">
        <f t="shared" si="12"/>
        <v>0.20385146432497547</v>
      </c>
      <c r="R16" s="427">
        <v>1109212</v>
      </c>
      <c r="S16" s="428">
        <f t="shared" si="13"/>
        <v>0.20587746711091073</v>
      </c>
      <c r="T16" s="550">
        <v>833942</v>
      </c>
      <c r="U16" s="505">
        <f t="shared" si="14"/>
        <v>0.18499994232214589</v>
      </c>
      <c r="V16" s="243">
        <v>1018000</v>
      </c>
      <c r="W16" s="505">
        <f t="shared" si="15"/>
        <v>0.1920754716981132</v>
      </c>
      <c r="X16" s="427">
        <v>1000000</v>
      </c>
      <c r="Y16" s="428">
        <f t="shared" si="16"/>
        <v>0.18867924528301888</v>
      </c>
      <c r="Z16" s="520">
        <f t="shared" si="19"/>
        <v>-1.77E-2</v>
      </c>
      <c r="AA16" s="379">
        <v>1050000</v>
      </c>
      <c r="AB16" s="505">
        <f t="shared" si="17"/>
        <v>0.19090909090909092</v>
      </c>
      <c r="AC16" s="529">
        <f t="shared" si="2"/>
        <v>0.05</v>
      </c>
      <c r="AD16" s="427">
        <v>1102500</v>
      </c>
      <c r="AE16" s="428">
        <f t="shared" si="18"/>
        <v>0.19008620689655173</v>
      </c>
      <c r="AF16" s="520">
        <f t="shared" si="3"/>
        <v>0.05</v>
      </c>
    </row>
    <row r="17" spans="1:32" ht="18" customHeight="1" x14ac:dyDescent="0.25">
      <c r="A17" s="95">
        <v>13</v>
      </c>
      <c r="B17" s="96" t="s">
        <v>335</v>
      </c>
      <c r="C17" s="75" t="s">
        <v>390</v>
      </c>
      <c r="D17" s="53">
        <f>294324.35+103082.91</f>
        <v>397407.26</v>
      </c>
      <c r="E17" s="54">
        <f t="shared" si="6"/>
        <v>7.5494811959840591E-2</v>
      </c>
      <c r="F17" s="165">
        <f>319456+105108</f>
        <v>424564</v>
      </c>
      <c r="G17" s="164">
        <f t="shared" si="7"/>
        <v>8.3050329911471321E-2</v>
      </c>
      <c r="H17" s="125">
        <f>338934+41064</f>
        <v>379998</v>
      </c>
      <c r="I17" s="54">
        <f t="shared" si="8"/>
        <v>6.9660482188729209E-2</v>
      </c>
      <c r="J17" s="165">
        <f>329630+115693</f>
        <v>445323</v>
      </c>
      <c r="K17" s="164">
        <f t="shared" si="9"/>
        <v>7.9691721883991817E-2</v>
      </c>
      <c r="L17" s="329">
        <f>339841+83906</f>
        <v>423747</v>
      </c>
      <c r="M17" s="211">
        <f t="shared" si="10"/>
        <v>8.2580763096476065E-2</v>
      </c>
      <c r="N17" s="243">
        <f>389744+9925</f>
        <v>399669</v>
      </c>
      <c r="O17" s="244">
        <f t="shared" si="11"/>
        <v>7.5559637474664196E-2</v>
      </c>
      <c r="P17" s="379">
        <f>368100+827</f>
        <v>368927</v>
      </c>
      <c r="Q17" s="244">
        <f t="shared" si="12"/>
        <v>7.5891916754984759E-2</v>
      </c>
      <c r="R17" s="427">
        <v>407908</v>
      </c>
      <c r="S17" s="428">
        <f t="shared" si="13"/>
        <v>7.5710563764435815E-2</v>
      </c>
      <c r="T17" s="550">
        <v>293813</v>
      </c>
      <c r="U17" s="505">
        <f t="shared" si="14"/>
        <v>6.517885902556371E-2</v>
      </c>
      <c r="V17" s="243">
        <v>375000</v>
      </c>
      <c r="W17" s="505">
        <f t="shared" si="15"/>
        <v>7.0754716981132074E-2</v>
      </c>
      <c r="X17" s="427">
        <v>350000</v>
      </c>
      <c r="Y17" s="428">
        <f t="shared" si="16"/>
        <v>6.6037735849056603E-2</v>
      </c>
      <c r="Z17" s="520">
        <f t="shared" si="19"/>
        <v>-6.6699999999999995E-2</v>
      </c>
      <c r="AA17" s="379">
        <v>325000</v>
      </c>
      <c r="AB17" s="505">
        <f t="shared" si="17"/>
        <v>5.909090909090909E-2</v>
      </c>
      <c r="AC17" s="529">
        <f t="shared" si="2"/>
        <v>-7.1400000000000005E-2</v>
      </c>
      <c r="AD17" s="427">
        <v>325000</v>
      </c>
      <c r="AE17" s="428">
        <f t="shared" si="18"/>
        <v>5.6034482758620691E-2</v>
      </c>
      <c r="AF17" s="520">
        <f t="shared" si="3"/>
        <v>0</v>
      </c>
    </row>
    <row r="18" spans="1:32" ht="18" customHeight="1" x14ac:dyDescent="0.25">
      <c r="A18" s="95">
        <v>14</v>
      </c>
      <c r="B18" s="96" t="s">
        <v>336</v>
      </c>
      <c r="C18" s="75" t="s">
        <v>203</v>
      </c>
      <c r="D18" s="53">
        <v>456289.89</v>
      </c>
      <c r="E18" s="54">
        <f t="shared" si="6"/>
        <v>8.6680649580297933E-2</v>
      </c>
      <c r="F18" s="165">
        <v>449228</v>
      </c>
      <c r="G18" s="164">
        <f t="shared" si="7"/>
        <v>8.7874934298410701E-2</v>
      </c>
      <c r="H18" s="125">
        <v>533258</v>
      </c>
      <c r="I18" s="54">
        <f t="shared" si="8"/>
        <v>9.7755802427900565E-2</v>
      </c>
      <c r="J18" s="165">
        <v>455285</v>
      </c>
      <c r="K18" s="164">
        <f t="shared" si="9"/>
        <v>8.1474447980349571E-2</v>
      </c>
      <c r="L18" s="329">
        <v>372127</v>
      </c>
      <c r="M18" s="211">
        <f t="shared" si="10"/>
        <v>7.2520942045140965E-2</v>
      </c>
      <c r="N18" s="243">
        <f>149883+219199+3862+95+10718+1100</f>
        <v>384857</v>
      </c>
      <c r="O18" s="244">
        <f t="shared" si="11"/>
        <v>7.2759346858492502E-2</v>
      </c>
      <c r="P18" s="379">
        <f>205312+185580+3188+109+14685+862</f>
        <v>409736</v>
      </c>
      <c r="Q18" s="244">
        <f t="shared" si="12"/>
        <v>8.4286729904616456E-2</v>
      </c>
      <c r="R18" s="427">
        <v>430817</v>
      </c>
      <c r="S18" s="428">
        <f t="shared" si="13"/>
        <v>7.9962633606849937E-2</v>
      </c>
      <c r="T18" s="550">
        <v>378075</v>
      </c>
      <c r="U18" s="505">
        <f t="shared" si="14"/>
        <v>8.3871364187731653E-2</v>
      </c>
      <c r="V18" s="243">
        <v>424000</v>
      </c>
      <c r="W18" s="505">
        <f t="shared" si="15"/>
        <v>0.08</v>
      </c>
      <c r="X18" s="427">
        <v>430000</v>
      </c>
      <c r="Y18" s="428">
        <f t="shared" si="16"/>
        <v>8.1132075471698109E-2</v>
      </c>
      <c r="Z18" s="520">
        <f t="shared" si="19"/>
        <v>1.4200000000000001E-2</v>
      </c>
      <c r="AA18" s="379">
        <f>AA12*0.082</f>
        <v>451000</v>
      </c>
      <c r="AB18" s="505">
        <f t="shared" si="17"/>
        <v>8.2000000000000003E-2</v>
      </c>
      <c r="AC18" s="529">
        <f t="shared" si="2"/>
        <v>4.8800000000000003E-2</v>
      </c>
      <c r="AD18" s="427">
        <f>AD12*0.082</f>
        <v>475600</v>
      </c>
      <c r="AE18" s="428">
        <f t="shared" si="18"/>
        <v>8.2000000000000003E-2</v>
      </c>
      <c r="AF18" s="520">
        <f t="shared" si="3"/>
        <v>5.45E-2</v>
      </c>
    </row>
    <row r="19" spans="1:32" ht="18" customHeight="1" x14ac:dyDescent="0.25">
      <c r="A19" s="302">
        <v>15</v>
      </c>
      <c r="B19" s="96" t="s">
        <v>337</v>
      </c>
      <c r="C19" s="76" t="s">
        <v>204</v>
      </c>
      <c r="D19" s="55">
        <v>23934.41</v>
      </c>
      <c r="E19" s="56">
        <f t="shared" si="6"/>
        <v>4.5467810082778261E-3</v>
      </c>
      <c r="F19" s="166">
        <v>39032</v>
      </c>
      <c r="G19" s="167">
        <f t="shared" si="7"/>
        <v>7.6351750904564419E-3</v>
      </c>
      <c r="H19" s="126">
        <v>31560</v>
      </c>
      <c r="I19" s="56">
        <f t="shared" si="8"/>
        <v>5.785516812920841E-3</v>
      </c>
      <c r="J19" s="166">
        <v>88132</v>
      </c>
      <c r="K19" s="167">
        <f t="shared" si="9"/>
        <v>1.577145315440695E-2</v>
      </c>
      <c r="L19" s="331">
        <v>96479</v>
      </c>
      <c r="M19" s="212">
        <f t="shared" si="10"/>
        <v>1.8802043301273906E-2</v>
      </c>
      <c r="N19" s="246">
        <v>74809</v>
      </c>
      <c r="O19" s="247">
        <f t="shared" si="11"/>
        <v>1.4143055678179077E-2</v>
      </c>
      <c r="P19" s="381">
        <f>900+50339</f>
        <v>51239</v>
      </c>
      <c r="Q19" s="247">
        <f t="shared" si="12"/>
        <v>1.0540366854712895E-2</v>
      </c>
      <c r="R19" s="430">
        <v>56675</v>
      </c>
      <c r="S19" s="431">
        <f t="shared" si="13"/>
        <v>1.0519274447545524E-2</v>
      </c>
      <c r="T19" s="551">
        <v>73348</v>
      </c>
      <c r="U19" s="506">
        <f t="shared" si="14"/>
        <v>1.6271366317375496E-2</v>
      </c>
      <c r="V19" s="246">
        <v>50000</v>
      </c>
      <c r="W19" s="506">
        <f t="shared" si="15"/>
        <v>9.433962264150943E-3</v>
      </c>
      <c r="X19" s="430">
        <v>50000</v>
      </c>
      <c r="Y19" s="431">
        <f t="shared" si="16"/>
        <v>9.433962264150943E-3</v>
      </c>
      <c r="Z19" s="521">
        <f t="shared" si="19"/>
        <v>0</v>
      </c>
      <c r="AA19" s="381">
        <v>50000</v>
      </c>
      <c r="AB19" s="506">
        <f t="shared" si="17"/>
        <v>9.0909090909090905E-3</v>
      </c>
      <c r="AC19" s="530">
        <f t="shared" si="2"/>
        <v>0</v>
      </c>
      <c r="AD19" s="430">
        <v>50000</v>
      </c>
      <c r="AE19" s="431">
        <f t="shared" si="18"/>
        <v>8.6206896551724137E-3</v>
      </c>
      <c r="AF19" s="523">
        <f t="shared" si="3"/>
        <v>0</v>
      </c>
    </row>
    <row r="20" spans="1:32" ht="18" customHeight="1" x14ac:dyDescent="0.25">
      <c r="A20" s="589">
        <v>16</v>
      </c>
      <c r="B20" s="590"/>
      <c r="C20" s="591" t="s">
        <v>205</v>
      </c>
      <c r="D20" s="592">
        <f>SUM(D14:D19)</f>
        <v>2181708.56</v>
      </c>
      <c r="E20" s="593">
        <f>SUM(E14:E19)</f>
        <v>0.41445563296547372</v>
      </c>
      <c r="F20" s="594">
        <f>SUM(F14:F19)</f>
        <v>2092634</v>
      </c>
      <c r="G20" s="596">
        <f>SUM(G14:G19)</f>
        <v>0.40934686898550487</v>
      </c>
      <c r="H20" s="595">
        <f>SUM(H14:H19)</f>
        <v>2256819</v>
      </c>
      <c r="I20" s="601">
        <f t="shared" si="8"/>
        <v>0.41371559785231937</v>
      </c>
      <c r="J20" s="594">
        <f>SUM(J14:J19)</f>
        <v>2445721</v>
      </c>
      <c r="K20" s="602">
        <f t="shared" si="9"/>
        <v>0.43766820428731129</v>
      </c>
      <c r="L20" s="594">
        <f>SUM(L14:L19)</f>
        <v>2123436</v>
      </c>
      <c r="M20" s="602">
        <f t="shared" si="10"/>
        <v>0.41381995687645867</v>
      </c>
      <c r="N20" s="597">
        <f>SUM(N14:N19)</f>
        <v>2117361</v>
      </c>
      <c r="O20" s="603">
        <f t="shared" si="11"/>
        <v>0.40029882118200927</v>
      </c>
      <c r="P20" s="599">
        <f>SUM(P14:P19)</f>
        <v>2001833</v>
      </c>
      <c r="Q20" s="603">
        <f t="shared" si="12"/>
        <v>0.41179676031676027</v>
      </c>
      <c r="R20" s="599">
        <f>SUM(R14:R19)</f>
        <v>2147524</v>
      </c>
      <c r="S20" s="603">
        <f t="shared" si="13"/>
        <v>0.39859540077089994</v>
      </c>
      <c r="T20" s="599">
        <f>SUM(T14:T19)</f>
        <v>1656245</v>
      </c>
      <c r="U20" s="603">
        <f t="shared" si="14"/>
        <v>0.36741791332172086</v>
      </c>
      <c r="V20" s="597">
        <f>SUM(V14:V19)</f>
        <v>2002220</v>
      </c>
      <c r="W20" s="603">
        <f t="shared" si="15"/>
        <v>0.37777735849056604</v>
      </c>
      <c r="X20" s="599">
        <f>SUM(X14:X19)</f>
        <v>1930000</v>
      </c>
      <c r="Y20" s="603">
        <f t="shared" si="16"/>
        <v>0.36415094339622639</v>
      </c>
      <c r="Z20" s="604">
        <f>ROUND((X20-V20)/V20,4)</f>
        <v>-3.61E-2</v>
      </c>
      <c r="AA20" s="599">
        <f>SUM(AA14:AA19)</f>
        <v>1986000</v>
      </c>
      <c r="AB20" s="603">
        <f t="shared" si="17"/>
        <v>0.36109090909090907</v>
      </c>
      <c r="AC20" s="600">
        <f t="shared" si="2"/>
        <v>2.9000000000000001E-2</v>
      </c>
      <c r="AD20" s="599">
        <f>SUM(AD14:AD19)</f>
        <v>2073600</v>
      </c>
      <c r="AE20" s="603">
        <f t="shared" si="18"/>
        <v>0.35751724137931035</v>
      </c>
      <c r="AF20" s="600">
        <f t="shared" si="3"/>
        <v>4.41E-2</v>
      </c>
    </row>
    <row r="21" spans="1:32" ht="15" customHeight="1" x14ac:dyDescent="0.25">
      <c r="A21" s="304">
        <v>17</v>
      </c>
      <c r="B21" s="96"/>
      <c r="C21" s="73"/>
      <c r="D21" s="28"/>
      <c r="E21" s="31"/>
      <c r="F21" s="159"/>
      <c r="G21" s="169"/>
      <c r="H21" s="122"/>
      <c r="I21" s="31"/>
      <c r="J21" s="159"/>
      <c r="K21" s="169"/>
      <c r="L21" s="328"/>
      <c r="M21" s="214"/>
      <c r="N21" s="241"/>
      <c r="O21" s="249"/>
      <c r="P21" s="378"/>
      <c r="Q21" s="249"/>
      <c r="R21" s="425"/>
      <c r="S21" s="433"/>
      <c r="T21" s="378"/>
      <c r="U21" s="508"/>
      <c r="V21" s="241"/>
      <c r="W21" s="508"/>
      <c r="X21" s="425"/>
      <c r="Y21" s="433"/>
      <c r="Z21" s="433"/>
      <c r="AA21" s="378"/>
      <c r="AB21" s="508"/>
      <c r="AC21" s="534"/>
      <c r="AD21" s="425"/>
      <c r="AE21" s="433"/>
      <c r="AF21" s="527"/>
    </row>
    <row r="22" spans="1:32" ht="18" customHeight="1" x14ac:dyDescent="0.25">
      <c r="A22" s="589">
        <v>18</v>
      </c>
      <c r="B22" s="590"/>
      <c r="C22" s="591" t="s">
        <v>206</v>
      </c>
      <c r="D22" s="605">
        <f>SUM(D12-D20)</f>
        <v>3082325.48</v>
      </c>
      <c r="E22" s="601">
        <f>E12-E20</f>
        <v>0.58554436703452628</v>
      </c>
      <c r="F22" s="606">
        <f>SUM(F12-F20)</f>
        <v>3019495</v>
      </c>
      <c r="G22" s="602">
        <f>G12-G20</f>
        <v>0.59065313101449513</v>
      </c>
      <c r="H22" s="607">
        <f>SUM(H12-H20)</f>
        <v>3198182</v>
      </c>
      <c r="I22" s="601">
        <f>H22/H$12</f>
        <v>0.58628440214768063</v>
      </c>
      <c r="J22" s="606">
        <f>SUM(J12-J20)</f>
        <v>3142350</v>
      </c>
      <c r="K22" s="602">
        <f>J22/J$12</f>
        <v>0.56233179571268865</v>
      </c>
      <c r="L22" s="606">
        <f>SUM(L12-L20)</f>
        <v>3007868</v>
      </c>
      <c r="M22" s="602">
        <f>L22/L$12</f>
        <v>0.58618004312354133</v>
      </c>
      <c r="N22" s="608">
        <f>SUM(N12-N20)</f>
        <v>3172090</v>
      </c>
      <c r="O22" s="603">
        <f>N22/N$12</f>
        <v>0.59970117881799079</v>
      </c>
      <c r="P22" s="609">
        <f>SUM(P12-P20)</f>
        <v>2859383</v>
      </c>
      <c r="Q22" s="603">
        <f>P22/P$12</f>
        <v>0.58820323968323973</v>
      </c>
      <c r="R22" s="609">
        <f>SUM(R12-R20)</f>
        <v>3240205</v>
      </c>
      <c r="S22" s="603">
        <f>R22/R$12</f>
        <v>0.60140459922910006</v>
      </c>
      <c r="T22" s="609">
        <f>SUM(T12-T20)</f>
        <v>2851551</v>
      </c>
      <c r="U22" s="603">
        <f>T22/T$12</f>
        <v>0.63258208667827909</v>
      </c>
      <c r="V22" s="608">
        <f>SUM(V12-V20)</f>
        <v>3297780</v>
      </c>
      <c r="W22" s="603">
        <f>V22/V$12</f>
        <v>0.62222264150943396</v>
      </c>
      <c r="X22" s="609">
        <f>SUM(X12-X20)</f>
        <v>3370000</v>
      </c>
      <c r="Y22" s="603">
        <f>X22/X$12</f>
        <v>0.63584905660377355</v>
      </c>
      <c r="Z22" s="604">
        <f>ROUND((X22-V22)/V22,4)</f>
        <v>2.1899999999999999E-2</v>
      </c>
      <c r="AA22" s="609">
        <f>SUM(AA12-AA20)</f>
        <v>3514000</v>
      </c>
      <c r="AB22" s="603">
        <f>AA22/AA$12</f>
        <v>0.63890909090909087</v>
      </c>
      <c r="AC22" s="600">
        <f t="shared" si="2"/>
        <v>4.2700000000000002E-2</v>
      </c>
      <c r="AD22" s="609">
        <f>SUM(AD12-AD20)</f>
        <v>3726400</v>
      </c>
      <c r="AE22" s="603">
        <f>AD22/AD$12</f>
        <v>0.64248275862068971</v>
      </c>
      <c r="AF22" s="600">
        <f t="shared" si="3"/>
        <v>6.0400000000000002E-2</v>
      </c>
    </row>
    <row r="23" spans="1:32" ht="15" customHeight="1" x14ac:dyDescent="0.25">
      <c r="A23" s="94">
        <v>19</v>
      </c>
      <c r="B23" s="96"/>
      <c r="C23" s="78"/>
      <c r="D23" s="28"/>
      <c r="E23" s="31"/>
      <c r="F23" s="159"/>
      <c r="G23" s="169"/>
      <c r="H23" s="122"/>
      <c r="I23" s="31"/>
      <c r="J23" s="159"/>
      <c r="K23" s="169"/>
      <c r="L23" s="328"/>
      <c r="M23" s="214"/>
      <c r="N23" s="241"/>
      <c r="O23" s="249"/>
      <c r="P23" s="378"/>
      <c r="Q23" s="249"/>
      <c r="R23" s="425"/>
      <c r="S23" s="433"/>
      <c r="T23" s="378"/>
      <c r="U23" s="508"/>
      <c r="V23" s="241"/>
      <c r="W23" s="508"/>
      <c r="X23" s="425"/>
      <c r="Y23" s="433"/>
      <c r="Z23" s="433"/>
      <c r="AA23" s="378"/>
      <c r="AB23" s="508"/>
      <c r="AC23" s="532"/>
      <c r="AD23" s="425"/>
      <c r="AE23" s="433"/>
      <c r="AF23" s="528"/>
    </row>
    <row r="24" spans="1:32" ht="18" customHeight="1" x14ac:dyDescent="0.25">
      <c r="A24" s="94">
        <v>20</v>
      </c>
      <c r="B24" s="96"/>
      <c r="C24" s="75" t="s">
        <v>208</v>
      </c>
      <c r="D24" s="53">
        <f>D81</f>
        <v>513655.13</v>
      </c>
      <c r="E24" s="54">
        <f t="shared" ref="E24:E31" si="20">D24/D$12</f>
        <v>9.7578231086058856E-2</v>
      </c>
      <c r="F24" s="165">
        <f>F81</f>
        <v>531438</v>
      </c>
      <c r="G24" s="164">
        <f t="shared" ref="G24:G31" si="21">F24/F$12</f>
        <v>0.10395629687748489</v>
      </c>
      <c r="H24" s="125">
        <f>H81</f>
        <v>579221</v>
      </c>
      <c r="I24" s="54">
        <f t="shared" ref="I24:I32" si="22">H24/H$12</f>
        <v>0.10618164872930362</v>
      </c>
      <c r="J24" s="165">
        <f>J81</f>
        <v>600403</v>
      </c>
      <c r="K24" s="164">
        <f t="shared" ref="K24:K32" si="23">J24/J$12</f>
        <v>0.10744369568675845</v>
      </c>
      <c r="L24" s="329">
        <f>L81</f>
        <v>658288</v>
      </c>
      <c r="M24" s="211">
        <f t="shared" ref="M24:M32" si="24">L24/L$12</f>
        <v>0.12828863774198526</v>
      </c>
      <c r="N24" s="243">
        <f>N81</f>
        <v>736493</v>
      </c>
      <c r="O24" s="244">
        <f t="shared" ref="O24:O32" si="25">N24/N$12</f>
        <v>0.13923807971753591</v>
      </c>
      <c r="P24" s="379">
        <f>P81</f>
        <v>743891</v>
      </c>
      <c r="Q24" s="244">
        <f t="shared" ref="Q24:Q32" si="26">P24/P$12</f>
        <v>0.15302570385681277</v>
      </c>
      <c r="R24" s="427">
        <f>R81</f>
        <v>706833</v>
      </c>
      <c r="S24" s="428">
        <f t="shared" ref="S24:S32" si="27">R24/R$12</f>
        <v>0.13119312422729504</v>
      </c>
      <c r="T24" s="379">
        <f>T81</f>
        <v>464898</v>
      </c>
      <c r="U24" s="505">
        <f t="shared" ref="U24:U32" si="28">T24/T$12</f>
        <v>0.10313199621278336</v>
      </c>
      <c r="V24" s="243">
        <f>V81</f>
        <v>647930</v>
      </c>
      <c r="W24" s="505">
        <f t="shared" ref="W24:W32" si="29">V24/V$12</f>
        <v>0.12225094339622641</v>
      </c>
      <c r="X24" s="427">
        <f>X81</f>
        <v>751225</v>
      </c>
      <c r="Y24" s="428">
        <f t="shared" ref="Y24:Y32" si="30">X24/X$12</f>
        <v>0.14174056603773585</v>
      </c>
      <c r="Z24" s="520">
        <f t="shared" ref="Z24:Z31" si="31">ROUND((X24-V24)/V24,4)</f>
        <v>0.15939999999999999</v>
      </c>
      <c r="AA24" s="379">
        <f>AA81</f>
        <v>769450</v>
      </c>
      <c r="AB24" s="505">
        <f t="shared" ref="AB24:AB32" si="32">AA24/AA$12</f>
        <v>0.1399</v>
      </c>
      <c r="AC24" s="529">
        <f t="shared" si="2"/>
        <v>2.4299999999999999E-2</v>
      </c>
      <c r="AD24" s="427">
        <f>AD81</f>
        <v>795705</v>
      </c>
      <c r="AE24" s="428">
        <f t="shared" ref="AE24:AE32" si="33">AD24/AD$12</f>
        <v>0.13719051724137932</v>
      </c>
      <c r="AF24" s="520">
        <f t="shared" si="3"/>
        <v>3.4099999999999998E-2</v>
      </c>
    </row>
    <row r="25" spans="1:32" ht="18" customHeight="1" x14ac:dyDescent="0.25">
      <c r="A25" s="95">
        <v>21</v>
      </c>
      <c r="B25" s="96"/>
      <c r="C25" s="75" t="s">
        <v>209</v>
      </c>
      <c r="D25" s="53">
        <f>D97</f>
        <v>413400</v>
      </c>
      <c r="E25" s="54">
        <f t="shared" si="20"/>
        <v>7.8532926812152598E-2</v>
      </c>
      <c r="F25" s="165">
        <f>F97</f>
        <v>431658</v>
      </c>
      <c r="G25" s="164">
        <f t="shared" si="21"/>
        <v>8.4438010073689451E-2</v>
      </c>
      <c r="H25" s="125">
        <f>H97</f>
        <v>438290</v>
      </c>
      <c r="I25" s="54">
        <f t="shared" si="22"/>
        <v>8.0346456398449784E-2</v>
      </c>
      <c r="J25" s="165">
        <f>J97</f>
        <v>485383</v>
      </c>
      <c r="K25" s="164">
        <f t="shared" si="23"/>
        <v>8.6860564226904066E-2</v>
      </c>
      <c r="L25" s="329">
        <f>L97</f>
        <v>486603</v>
      </c>
      <c r="M25" s="211">
        <f t="shared" si="24"/>
        <v>9.483028095782281E-2</v>
      </c>
      <c r="N25" s="243">
        <f>N97</f>
        <v>525056</v>
      </c>
      <c r="O25" s="244">
        <f t="shared" si="25"/>
        <v>9.9264744110494643E-2</v>
      </c>
      <c r="P25" s="379">
        <f>P97</f>
        <v>569318</v>
      </c>
      <c r="Q25" s="244">
        <f t="shared" si="26"/>
        <v>0.11711431872190003</v>
      </c>
      <c r="R25" s="427">
        <f>R97</f>
        <v>537466</v>
      </c>
      <c r="S25" s="428">
        <f t="shared" si="27"/>
        <v>9.9757430264217073E-2</v>
      </c>
      <c r="T25" s="379">
        <f>T97</f>
        <v>392776</v>
      </c>
      <c r="U25" s="505">
        <f t="shared" si="28"/>
        <v>8.7132603161278813E-2</v>
      </c>
      <c r="V25" s="243">
        <f>V97</f>
        <v>536330</v>
      </c>
      <c r="W25" s="505">
        <f t="shared" si="29"/>
        <v>0.10119433962264152</v>
      </c>
      <c r="X25" s="427">
        <f>X97</f>
        <v>548515</v>
      </c>
      <c r="Y25" s="428">
        <f t="shared" si="30"/>
        <v>0.1034933962264151</v>
      </c>
      <c r="Z25" s="520">
        <f t="shared" si="31"/>
        <v>2.2700000000000001E-2</v>
      </c>
      <c r="AA25" s="379">
        <f>AA97</f>
        <v>556915</v>
      </c>
      <c r="AB25" s="505">
        <f t="shared" si="32"/>
        <v>0.10125727272727272</v>
      </c>
      <c r="AC25" s="529">
        <f t="shared" si="2"/>
        <v>1.5299999999999999E-2</v>
      </c>
      <c r="AD25" s="427">
        <f>AD97</f>
        <v>582290</v>
      </c>
      <c r="AE25" s="428">
        <f t="shared" si="33"/>
        <v>0.10039482758620689</v>
      </c>
      <c r="AF25" s="520">
        <f t="shared" si="3"/>
        <v>4.5600000000000002E-2</v>
      </c>
    </row>
    <row r="26" spans="1:32" ht="18" customHeight="1" x14ac:dyDescent="0.25">
      <c r="A26" s="95">
        <v>22</v>
      </c>
      <c r="B26" s="96"/>
      <c r="C26" s="75" t="s">
        <v>34</v>
      </c>
      <c r="D26" s="53">
        <f>D113</f>
        <v>355457</v>
      </c>
      <c r="E26" s="54">
        <f t="shared" si="20"/>
        <v>6.7525589177231074E-2</v>
      </c>
      <c r="F26" s="165">
        <f>F113</f>
        <v>334547</v>
      </c>
      <c r="G26" s="164">
        <f t="shared" si="21"/>
        <v>6.5441814946375576E-2</v>
      </c>
      <c r="H26" s="125">
        <f>H113</f>
        <v>348122</v>
      </c>
      <c r="I26" s="54">
        <f t="shared" si="22"/>
        <v>6.3817036880469871E-2</v>
      </c>
      <c r="J26" s="165">
        <f>J113</f>
        <v>373143</v>
      </c>
      <c r="K26" s="164">
        <f t="shared" si="23"/>
        <v>6.6774921077416519E-2</v>
      </c>
      <c r="L26" s="329">
        <f>L113</f>
        <v>372425</v>
      </c>
      <c r="M26" s="211">
        <f t="shared" si="24"/>
        <v>7.257901695163646E-2</v>
      </c>
      <c r="N26" s="243">
        <f>N113</f>
        <v>405397</v>
      </c>
      <c r="O26" s="244">
        <f t="shared" si="25"/>
        <v>7.6642547591422999E-2</v>
      </c>
      <c r="P26" s="379">
        <f>P113</f>
        <v>404225</v>
      </c>
      <c r="Q26" s="244">
        <f t="shared" si="26"/>
        <v>8.3153062937339137E-2</v>
      </c>
      <c r="R26" s="427">
        <f>R113</f>
        <v>388989</v>
      </c>
      <c r="S26" s="428">
        <f t="shared" si="27"/>
        <v>7.2199065691685674E-2</v>
      </c>
      <c r="T26" s="379">
        <f>T113</f>
        <v>290831</v>
      </c>
      <c r="U26" s="505">
        <f t="shared" si="28"/>
        <v>6.4517338406618219E-2</v>
      </c>
      <c r="V26" s="243">
        <f>V113</f>
        <v>395695</v>
      </c>
      <c r="W26" s="505">
        <f t="shared" si="29"/>
        <v>7.4659433962264155E-2</v>
      </c>
      <c r="X26" s="427">
        <f>X113</f>
        <v>401540</v>
      </c>
      <c r="Y26" s="428">
        <f t="shared" si="30"/>
        <v>7.5762264150943393E-2</v>
      </c>
      <c r="Z26" s="520">
        <f t="shared" si="31"/>
        <v>1.4800000000000001E-2</v>
      </c>
      <c r="AA26" s="379">
        <f>AA113</f>
        <v>407375</v>
      </c>
      <c r="AB26" s="505">
        <f t="shared" si="32"/>
        <v>7.4068181818181825E-2</v>
      </c>
      <c r="AC26" s="529">
        <f t="shared" si="2"/>
        <v>1.4500000000000001E-2</v>
      </c>
      <c r="AD26" s="427">
        <f>AD113</f>
        <v>420610</v>
      </c>
      <c r="AE26" s="428">
        <f t="shared" si="33"/>
        <v>7.2518965517241379E-2</v>
      </c>
      <c r="AF26" s="520">
        <f t="shared" si="3"/>
        <v>3.2500000000000001E-2</v>
      </c>
    </row>
    <row r="27" spans="1:32" ht="18" customHeight="1" x14ac:dyDescent="0.25">
      <c r="A27" s="94">
        <v>23</v>
      </c>
      <c r="B27" s="96"/>
      <c r="C27" s="75" t="s">
        <v>210</v>
      </c>
      <c r="D27" s="53">
        <f>D160</f>
        <v>1206529.8900000001</v>
      </c>
      <c r="E27" s="54">
        <f t="shared" si="20"/>
        <v>0.22920252430586488</v>
      </c>
      <c r="F27" s="165">
        <f>F160</f>
        <v>1226164</v>
      </c>
      <c r="G27" s="164">
        <f t="shared" si="21"/>
        <v>0.23985388475134334</v>
      </c>
      <c r="H27" s="125">
        <f>H160</f>
        <v>1220875</v>
      </c>
      <c r="I27" s="54">
        <f t="shared" si="22"/>
        <v>0.22380839160249466</v>
      </c>
      <c r="J27" s="165">
        <f>J160</f>
        <v>1212427</v>
      </c>
      <c r="K27" s="164">
        <f t="shared" si="23"/>
        <v>0.21696699988242812</v>
      </c>
      <c r="L27" s="329">
        <f>L160</f>
        <v>1238341</v>
      </c>
      <c r="M27" s="211">
        <f t="shared" si="24"/>
        <v>0.24133066370653541</v>
      </c>
      <c r="N27" s="243">
        <f>N160</f>
        <v>1280754</v>
      </c>
      <c r="O27" s="244">
        <f t="shared" si="25"/>
        <v>0.24213363541887428</v>
      </c>
      <c r="P27" s="379">
        <f>P160</f>
        <v>1260034</v>
      </c>
      <c r="Q27" s="244">
        <f t="shared" si="26"/>
        <v>0.25920140146004622</v>
      </c>
      <c r="R27" s="427">
        <f>R160</f>
        <v>1151210</v>
      </c>
      <c r="S27" s="428">
        <f t="shared" si="27"/>
        <v>0.21367258820924365</v>
      </c>
      <c r="T27" s="379">
        <f>T160</f>
        <v>875720</v>
      </c>
      <c r="U27" s="505">
        <f t="shared" si="28"/>
        <v>0.19426788612439427</v>
      </c>
      <c r="V27" s="243">
        <f>V160</f>
        <v>1156515</v>
      </c>
      <c r="W27" s="505">
        <f t="shared" si="29"/>
        <v>0.21821037735849055</v>
      </c>
      <c r="X27" s="427">
        <f>X160</f>
        <v>1174205</v>
      </c>
      <c r="Y27" s="428">
        <f t="shared" si="30"/>
        <v>0.22154811320754716</v>
      </c>
      <c r="Z27" s="520">
        <f t="shared" si="31"/>
        <v>1.5299999999999999E-2</v>
      </c>
      <c r="AA27" s="379">
        <f>AA160</f>
        <v>1241485</v>
      </c>
      <c r="AB27" s="505">
        <f t="shared" si="32"/>
        <v>0.22572454545454546</v>
      </c>
      <c r="AC27" s="529">
        <f t="shared" si="2"/>
        <v>5.7299999999999997E-2</v>
      </c>
      <c r="AD27" s="427">
        <f>AD160</f>
        <v>1278755</v>
      </c>
      <c r="AE27" s="428">
        <f t="shared" si="33"/>
        <v>0.220475</v>
      </c>
      <c r="AF27" s="520">
        <f t="shared" si="3"/>
        <v>0.03</v>
      </c>
    </row>
    <row r="28" spans="1:32" ht="18" customHeight="1" x14ac:dyDescent="0.25">
      <c r="A28" s="95">
        <v>24</v>
      </c>
      <c r="B28" s="96"/>
      <c r="C28" s="75" t="s">
        <v>352</v>
      </c>
      <c r="D28" s="53">
        <f>D181+D201</f>
        <v>680787.81</v>
      </c>
      <c r="E28" s="54">
        <f t="shared" si="20"/>
        <v>0.12932815495243266</v>
      </c>
      <c r="F28" s="165">
        <f>F181+F201</f>
        <v>710719</v>
      </c>
      <c r="G28" s="164">
        <f t="shared" si="21"/>
        <v>0.13902603005518835</v>
      </c>
      <c r="H28" s="125">
        <f>H181+H201</f>
        <v>713458</v>
      </c>
      <c r="I28" s="54">
        <f t="shared" si="22"/>
        <v>0.13078971021270208</v>
      </c>
      <c r="J28" s="165">
        <f>J181+J201</f>
        <v>755974</v>
      </c>
      <c r="K28" s="164">
        <f t="shared" si="23"/>
        <v>0.13528353523067263</v>
      </c>
      <c r="L28" s="329">
        <f>L181+L201</f>
        <v>789862</v>
      </c>
      <c r="M28" s="211">
        <f t="shared" si="24"/>
        <v>0.15393007313540574</v>
      </c>
      <c r="N28" s="243">
        <f>N181+N201</f>
        <v>505965</v>
      </c>
      <c r="O28" s="244">
        <f t="shared" si="25"/>
        <v>9.5655484850885278E-2</v>
      </c>
      <c r="P28" s="379">
        <f>P181+P201</f>
        <v>488165</v>
      </c>
      <c r="Q28" s="244">
        <f t="shared" si="26"/>
        <v>0.10042034750153048</v>
      </c>
      <c r="R28" s="427">
        <f>R181+R201</f>
        <v>496526</v>
      </c>
      <c r="S28" s="428">
        <f t="shared" si="27"/>
        <v>9.215868132936901E-2</v>
      </c>
      <c r="T28" s="379">
        <f>T181+T201</f>
        <v>456332</v>
      </c>
      <c r="U28" s="505">
        <f t="shared" si="28"/>
        <v>0.10123173275809287</v>
      </c>
      <c r="V28" s="243">
        <f>V181+V201</f>
        <v>536600</v>
      </c>
      <c r="W28" s="505">
        <f t="shared" si="29"/>
        <v>0.10124528301886793</v>
      </c>
      <c r="X28" s="427">
        <f>X181+X201</f>
        <v>537500</v>
      </c>
      <c r="Y28" s="428">
        <f t="shared" si="30"/>
        <v>0.10141509433962265</v>
      </c>
      <c r="Z28" s="520">
        <f t="shared" si="31"/>
        <v>1.6999999999999999E-3</v>
      </c>
      <c r="AA28" s="379">
        <f>AA181+AA201</f>
        <v>557690</v>
      </c>
      <c r="AB28" s="505">
        <f t="shared" si="32"/>
        <v>0.10139818181818182</v>
      </c>
      <c r="AC28" s="529">
        <f t="shared" si="2"/>
        <v>3.7600000000000001E-2</v>
      </c>
      <c r="AD28" s="427">
        <f>AD181+AD201</f>
        <v>587890</v>
      </c>
      <c r="AE28" s="428">
        <f t="shared" si="33"/>
        <v>0.10136034482758621</v>
      </c>
      <c r="AF28" s="520">
        <f t="shared" si="3"/>
        <v>5.4199999999999998E-2</v>
      </c>
    </row>
    <row r="29" spans="1:32" ht="18" customHeight="1" x14ac:dyDescent="0.25">
      <c r="A29" s="95">
        <v>25</v>
      </c>
      <c r="B29" s="96"/>
      <c r="C29" s="75" t="s">
        <v>211</v>
      </c>
      <c r="D29" s="53">
        <f>D213</f>
        <v>141017</v>
      </c>
      <c r="E29" s="54">
        <f t="shared" si="20"/>
        <v>2.6788770537661644E-2</v>
      </c>
      <c r="F29" s="165">
        <f>F213</f>
        <v>138229</v>
      </c>
      <c r="G29" s="164">
        <f t="shared" si="21"/>
        <v>2.7039419388673488E-2</v>
      </c>
      <c r="H29" s="125">
        <f>H213</f>
        <v>146946</v>
      </c>
      <c r="I29" s="54">
        <f t="shared" si="22"/>
        <v>2.6937850240540743E-2</v>
      </c>
      <c r="J29" s="165">
        <f>J213</f>
        <v>148123</v>
      </c>
      <c r="K29" s="164">
        <f t="shared" si="23"/>
        <v>2.6507000358442116E-2</v>
      </c>
      <c r="L29" s="329">
        <f>L213</f>
        <v>154765</v>
      </c>
      <c r="M29" s="211">
        <f t="shared" si="24"/>
        <v>3.0160949341531899E-2</v>
      </c>
      <c r="N29" s="243">
        <f>N213</f>
        <v>119132</v>
      </c>
      <c r="O29" s="244">
        <f t="shared" si="25"/>
        <v>2.2522564250996937E-2</v>
      </c>
      <c r="P29" s="379">
        <f>P213</f>
        <v>124792</v>
      </c>
      <c r="Q29" s="244">
        <f t="shared" si="26"/>
        <v>2.5670943237247636E-2</v>
      </c>
      <c r="R29" s="427">
        <f>R213</f>
        <v>100167</v>
      </c>
      <c r="S29" s="428">
        <f t="shared" si="27"/>
        <v>1.8591692343842833E-2</v>
      </c>
      <c r="T29" s="379">
        <f>T213</f>
        <v>74065</v>
      </c>
      <c r="U29" s="505">
        <f t="shared" si="28"/>
        <v>1.6430424091950922E-2</v>
      </c>
      <c r="V29" s="243">
        <f>V213</f>
        <v>98255</v>
      </c>
      <c r="W29" s="505">
        <f t="shared" si="29"/>
        <v>1.8538679245283018E-2</v>
      </c>
      <c r="X29" s="427">
        <f>X213</f>
        <v>100495</v>
      </c>
      <c r="Y29" s="428">
        <f t="shared" si="30"/>
        <v>1.896132075471698E-2</v>
      </c>
      <c r="Z29" s="520">
        <f t="shared" si="31"/>
        <v>2.2800000000000001E-2</v>
      </c>
      <c r="AA29" s="379">
        <f>AA213</f>
        <v>101190</v>
      </c>
      <c r="AB29" s="505">
        <f t="shared" si="32"/>
        <v>1.8398181818181817E-2</v>
      </c>
      <c r="AC29" s="529">
        <f t="shared" si="2"/>
        <v>6.8999999999999999E-3</v>
      </c>
      <c r="AD29" s="427">
        <f>AD213</f>
        <v>105265</v>
      </c>
      <c r="AE29" s="428">
        <f t="shared" si="33"/>
        <v>1.8149137931034481E-2</v>
      </c>
      <c r="AF29" s="520">
        <f t="shared" si="3"/>
        <v>4.0300000000000002E-2</v>
      </c>
    </row>
    <row r="30" spans="1:32" ht="18" customHeight="1" x14ac:dyDescent="0.25">
      <c r="A30" s="94">
        <v>26</v>
      </c>
      <c r="B30" s="96"/>
      <c r="C30" s="75" t="s">
        <v>353</v>
      </c>
      <c r="D30" s="53">
        <f>D234</f>
        <v>156878</v>
      </c>
      <c r="E30" s="54">
        <f t="shared" si="20"/>
        <v>2.9801858956064044E-2</v>
      </c>
      <c r="F30" s="165">
        <f>F234</f>
        <v>160714</v>
      </c>
      <c r="G30" s="164">
        <f t="shared" si="21"/>
        <v>3.143778257551795E-2</v>
      </c>
      <c r="H30" s="125">
        <f>H234</f>
        <v>185776</v>
      </c>
      <c r="I30" s="54">
        <f t="shared" si="22"/>
        <v>3.4056089082293475E-2</v>
      </c>
      <c r="J30" s="165">
        <f>J234</f>
        <v>189413</v>
      </c>
      <c r="K30" s="164">
        <f t="shared" si="23"/>
        <v>3.3895954435797251E-2</v>
      </c>
      <c r="L30" s="329">
        <f>L234</f>
        <v>178887</v>
      </c>
      <c r="M30" s="211">
        <f t="shared" si="24"/>
        <v>3.486189865188264E-2</v>
      </c>
      <c r="N30" s="243">
        <f>N234</f>
        <v>336273</v>
      </c>
      <c r="O30" s="244">
        <f t="shared" si="25"/>
        <v>6.3574272641905558E-2</v>
      </c>
      <c r="P30" s="379">
        <f>P234</f>
        <v>258030</v>
      </c>
      <c r="Q30" s="244">
        <f t="shared" si="26"/>
        <v>5.3079311842962745E-2</v>
      </c>
      <c r="R30" s="427">
        <f>R234</f>
        <v>384414</v>
      </c>
      <c r="S30" s="428">
        <f t="shared" si="27"/>
        <v>7.1349913850529606E-2</v>
      </c>
      <c r="T30" s="379">
        <f>T234</f>
        <v>381107</v>
      </c>
      <c r="U30" s="505">
        <f t="shared" si="28"/>
        <v>8.4543976701696347E-2</v>
      </c>
      <c r="V30" s="243">
        <f>V234</f>
        <v>477778</v>
      </c>
      <c r="W30" s="505">
        <f t="shared" si="29"/>
        <v>9.0146792452830193E-2</v>
      </c>
      <c r="X30" s="427">
        <f>X234</f>
        <v>457400</v>
      </c>
      <c r="Y30" s="428">
        <f t="shared" si="30"/>
        <v>8.6301886792452834E-2</v>
      </c>
      <c r="Z30" s="523">
        <f t="shared" si="31"/>
        <v>-4.2700000000000002E-2</v>
      </c>
      <c r="AA30" s="379">
        <f>AA234</f>
        <v>421535</v>
      </c>
      <c r="AB30" s="505">
        <f t="shared" si="32"/>
        <v>7.6642727272727279E-2</v>
      </c>
      <c r="AC30" s="529">
        <f t="shared" si="2"/>
        <v>-7.8399999999999997E-2</v>
      </c>
      <c r="AD30" s="427">
        <f>AD234</f>
        <v>405440</v>
      </c>
      <c r="AE30" s="428">
        <f t="shared" si="33"/>
        <v>6.9903448275862062E-2</v>
      </c>
      <c r="AF30" s="520">
        <f t="shared" si="3"/>
        <v>-3.8199999999999998E-2</v>
      </c>
    </row>
    <row r="31" spans="1:32" ht="18" customHeight="1" x14ac:dyDescent="0.25">
      <c r="A31" s="302">
        <v>27</v>
      </c>
      <c r="B31" s="96"/>
      <c r="C31" s="76" t="s">
        <v>35</v>
      </c>
      <c r="D31" s="55">
        <f>D279</f>
        <v>870122</v>
      </c>
      <c r="E31" s="56">
        <f t="shared" si="20"/>
        <v>0.16529566362758552</v>
      </c>
      <c r="F31" s="166">
        <f>F279</f>
        <v>816296</v>
      </c>
      <c r="G31" s="167">
        <f t="shared" si="21"/>
        <v>0.15967828667860298</v>
      </c>
      <c r="H31" s="126">
        <f>H279</f>
        <v>889666</v>
      </c>
      <c r="I31" s="56">
        <f t="shared" si="22"/>
        <v>0.16309181244879697</v>
      </c>
      <c r="J31" s="166">
        <f>J279</f>
        <v>850800</v>
      </c>
      <c r="K31" s="167">
        <f t="shared" si="23"/>
        <v>0.15225289728781183</v>
      </c>
      <c r="L31" s="331">
        <f>L279</f>
        <v>883814</v>
      </c>
      <c r="M31" s="212">
        <f t="shared" si="24"/>
        <v>0.17223964902488725</v>
      </c>
      <c r="N31" s="246">
        <f>N279</f>
        <v>1142704</v>
      </c>
      <c r="O31" s="247">
        <f t="shared" si="25"/>
        <v>0.21603451851619385</v>
      </c>
      <c r="P31" s="381">
        <f>P279</f>
        <v>1004428</v>
      </c>
      <c r="Q31" s="247">
        <f t="shared" si="26"/>
        <v>0.20662073028641392</v>
      </c>
      <c r="R31" s="430">
        <f>R279</f>
        <v>996526</v>
      </c>
      <c r="S31" s="431">
        <f t="shared" si="27"/>
        <v>0.18496216123713721</v>
      </c>
      <c r="T31" s="381">
        <f>T279</f>
        <v>745703</v>
      </c>
      <c r="U31" s="506">
        <f t="shared" si="28"/>
        <v>0.16542518783015026</v>
      </c>
      <c r="V31" s="246">
        <f>V279</f>
        <v>997055</v>
      </c>
      <c r="W31" s="506">
        <f t="shared" si="29"/>
        <v>0.18812358490566039</v>
      </c>
      <c r="X31" s="430">
        <f>X279</f>
        <v>1010930</v>
      </c>
      <c r="Y31" s="431">
        <f t="shared" si="30"/>
        <v>0.19074150943396226</v>
      </c>
      <c r="Z31" s="521">
        <f t="shared" si="31"/>
        <v>1.3899999999999999E-2</v>
      </c>
      <c r="AA31" s="381">
        <f>AA279</f>
        <v>994150</v>
      </c>
      <c r="AB31" s="506">
        <f t="shared" si="32"/>
        <v>0.18075454545454545</v>
      </c>
      <c r="AC31" s="529">
        <f t="shared" si="2"/>
        <v>-1.66E-2</v>
      </c>
      <c r="AD31" s="430">
        <f>AD279</f>
        <v>1016710</v>
      </c>
      <c r="AE31" s="431">
        <f t="shared" si="33"/>
        <v>0.1752948275862069</v>
      </c>
      <c r="AF31" s="520">
        <f t="shared" si="3"/>
        <v>2.2700000000000001E-2</v>
      </c>
    </row>
    <row r="32" spans="1:32" s="2" customFormat="1" ht="18" customHeight="1" x14ac:dyDescent="0.25">
      <c r="A32" s="589">
        <v>28</v>
      </c>
      <c r="B32" s="590"/>
      <c r="C32" s="610" t="s">
        <v>212</v>
      </c>
      <c r="D32" s="611">
        <f>SUM(D24:D31)</f>
        <v>4337846.83</v>
      </c>
      <c r="E32" s="612">
        <f>SUM(E24:E31)</f>
        <v>0.82405371945505124</v>
      </c>
      <c r="F32" s="613">
        <f>SUM(F24:F31)</f>
        <v>4349765</v>
      </c>
      <c r="G32" s="614">
        <f>SUM(G24:G31)</f>
        <v>0.85087152534687605</v>
      </c>
      <c r="H32" s="607">
        <f>SUM(H24:H31)</f>
        <v>4522354</v>
      </c>
      <c r="I32" s="601">
        <f t="shared" si="22"/>
        <v>0.82902899559505117</v>
      </c>
      <c r="J32" s="606">
        <f>SUM(J24:J31)</f>
        <v>4615666</v>
      </c>
      <c r="K32" s="602">
        <f t="shared" si="23"/>
        <v>0.82598556818623103</v>
      </c>
      <c r="L32" s="606">
        <f>SUM(L24:L31)</f>
        <v>4762985</v>
      </c>
      <c r="M32" s="602">
        <f t="shared" si="24"/>
        <v>0.92822116951168743</v>
      </c>
      <c r="N32" s="608">
        <f>SUM(N24:N31)</f>
        <v>5051774</v>
      </c>
      <c r="O32" s="603">
        <f t="shared" si="25"/>
        <v>0.95506584709830944</v>
      </c>
      <c r="P32" s="609">
        <f>SUM(P24:P31)</f>
        <v>4852883</v>
      </c>
      <c r="Q32" s="603">
        <f t="shared" si="26"/>
        <v>0.99828581984425291</v>
      </c>
      <c r="R32" s="609">
        <f>SUM(R24:R31)</f>
        <v>4762131</v>
      </c>
      <c r="S32" s="603">
        <f t="shared" si="27"/>
        <v>0.8838846571533201</v>
      </c>
      <c r="T32" s="609">
        <f>SUM(T24:T31)</f>
        <v>3681432</v>
      </c>
      <c r="U32" s="603">
        <f t="shared" si="28"/>
        <v>0.81668114528696512</v>
      </c>
      <c r="V32" s="608">
        <f>SUM(V24:V31)</f>
        <v>4846158</v>
      </c>
      <c r="W32" s="603">
        <f t="shared" si="29"/>
        <v>0.91436943396226411</v>
      </c>
      <c r="X32" s="609">
        <f>SUM(X24:X31)</f>
        <v>4981810</v>
      </c>
      <c r="Y32" s="603">
        <f t="shared" si="30"/>
        <v>0.93996415094339625</v>
      </c>
      <c r="Z32" s="604">
        <f>ROUND((X32-V32)/V32,4)</f>
        <v>2.8000000000000001E-2</v>
      </c>
      <c r="AA32" s="609">
        <f>SUM(AA24:AA31)</f>
        <v>5049790</v>
      </c>
      <c r="AB32" s="603">
        <f t="shared" si="32"/>
        <v>0.91814363636363638</v>
      </c>
      <c r="AC32" s="615">
        <f t="shared" si="2"/>
        <v>1.3599999999999999E-2</v>
      </c>
      <c r="AD32" s="609">
        <f>SUM(AD24:AD31)</f>
        <v>5192665</v>
      </c>
      <c r="AE32" s="603">
        <f t="shared" si="33"/>
        <v>0.89528706896551724</v>
      </c>
      <c r="AF32" s="615">
        <f t="shared" si="3"/>
        <v>2.8299999999999999E-2</v>
      </c>
    </row>
    <row r="33" spans="1:32" s="2" customFormat="1" ht="15" customHeight="1" x14ac:dyDescent="0.25">
      <c r="A33" s="304">
        <v>29</v>
      </c>
      <c r="B33" s="96"/>
      <c r="C33" s="78"/>
      <c r="D33" s="35"/>
      <c r="E33" s="29"/>
      <c r="F33" s="171"/>
      <c r="G33" s="160"/>
      <c r="H33" s="128"/>
      <c r="I33" s="29"/>
      <c r="J33" s="171"/>
      <c r="K33" s="160"/>
      <c r="L33" s="333"/>
      <c r="M33" s="209"/>
      <c r="N33" s="251"/>
      <c r="O33" s="242"/>
      <c r="P33" s="383"/>
      <c r="Q33" s="242"/>
      <c r="R33" s="435"/>
      <c r="S33" s="426"/>
      <c r="T33" s="383"/>
      <c r="U33" s="504"/>
      <c r="V33" s="251"/>
      <c r="W33" s="504"/>
      <c r="X33" s="435"/>
      <c r="Y33" s="426"/>
      <c r="Z33" s="426"/>
      <c r="AA33" s="383"/>
      <c r="AB33" s="504"/>
      <c r="AC33" s="530"/>
      <c r="AD33" s="435"/>
      <c r="AE33" s="426"/>
      <c r="AF33" s="523"/>
    </row>
    <row r="34" spans="1:32" ht="18" customHeight="1" x14ac:dyDescent="0.25">
      <c r="A34" s="303">
        <v>30</v>
      </c>
      <c r="B34" s="96"/>
      <c r="C34" s="77" t="s">
        <v>374</v>
      </c>
      <c r="D34" s="68">
        <f>SUM(D22-D32)</f>
        <v>-1255521.3500000001</v>
      </c>
      <c r="E34" s="32">
        <f>SUM(E22-E32)</f>
        <v>-0.23850935242052496</v>
      </c>
      <c r="F34" s="172">
        <f>SUM(F22-F32)</f>
        <v>-1330270</v>
      </c>
      <c r="G34" s="168">
        <f>SUM(G22-G32)</f>
        <v>-0.26021839433238092</v>
      </c>
      <c r="H34" s="129">
        <f>SUM(H22-H32)</f>
        <v>-1324172</v>
      </c>
      <c r="I34" s="32">
        <f>H34/H$12</f>
        <v>-0.24274459344737059</v>
      </c>
      <c r="J34" s="172">
        <f>SUM(J22-J32)</f>
        <v>-1473316</v>
      </c>
      <c r="K34" s="168">
        <f>J34/J$12</f>
        <v>-0.26365377247354232</v>
      </c>
      <c r="L34" s="334">
        <f>SUM(L22-L32)</f>
        <v>-1755117</v>
      </c>
      <c r="M34" s="213">
        <f>L34/L$12</f>
        <v>-0.34204112638814615</v>
      </c>
      <c r="N34" s="252">
        <f>SUM(N22-N32)</f>
        <v>-1879684</v>
      </c>
      <c r="O34" s="248">
        <f>N34/N$12</f>
        <v>-0.35536466828031871</v>
      </c>
      <c r="P34" s="384">
        <f>SUM(P22-P32)</f>
        <v>-1993500</v>
      </c>
      <c r="Q34" s="248">
        <f>P34/P$12</f>
        <v>-0.41008258016101323</v>
      </c>
      <c r="R34" s="436">
        <f>SUM(R22-R32)</f>
        <v>-1521926</v>
      </c>
      <c r="S34" s="432">
        <f>R34/R$12</f>
        <v>-0.28248005792422004</v>
      </c>
      <c r="T34" s="384">
        <f>SUM(T22-T32)</f>
        <v>-829881</v>
      </c>
      <c r="U34" s="507">
        <f>T34/T$12</f>
        <v>-0.18409905860868592</v>
      </c>
      <c r="V34" s="252">
        <f>SUM(V22-V32)</f>
        <v>-1548378</v>
      </c>
      <c r="W34" s="507">
        <f>V34/V$12</f>
        <v>-0.29214679245283021</v>
      </c>
      <c r="X34" s="436">
        <f>SUM(X22-X32)</f>
        <v>-1611810</v>
      </c>
      <c r="Y34" s="432">
        <f>X34/X$12</f>
        <v>-0.30411509433962264</v>
      </c>
      <c r="Z34" s="518">
        <f>ROUND((X34-V34)/V34,4)</f>
        <v>4.1000000000000002E-2</v>
      </c>
      <c r="AA34" s="384">
        <f>SUM(AA22-AA32)</f>
        <v>-1535790</v>
      </c>
      <c r="AB34" s="507">
        <f>AA34/AA$12</f>
        <v>-0.27923454545454546</v>
      </c>
      <c r="AC34" s="531">
        <f t="shared" si="2"/>
        <v>-4.7199999999999999E-2</v>
      </c>
      <c r="AD34" s="436">
        <f>SUM(AD22-AD32)</f>
        <v>-1466265</v>
      </c>
      <c r="AE34" s="432">
        <f>AD34/AD$12</f>
        <v>-0.25280431034482759</v>
      </c>
      <c r="AF34" s="526">
        <f t="shared" si="3"/>
        <v>-4.53E-2</v>
      </c>
    </row>
    <row r="35" spans="1:32" ht="15" customHeight="1" x14ac:dyDescent="0.25">
      <c r="A35" s="94">
        <v>31</v>
      </c>
      <c r="B35" s="96"/>
      <c r="C35" s="73" t="s">
        <v>198</v>
      </c>
      <c r="D35" s="28"/>
      <c r="E35" s="31"/>
      <c r="F35" s="159"/>
      <c r="G35" s="169"/>
      <c r="H35" s="122"/>
      <c r="I35" s="31"/>
      <c r="J35" s="159"/>
      <c r="K35" s="169"/>
      <c r="L35" s="328"/>
      <c r="M35" s="214"/>
      <c r="N35" s="241"/>
      <c r="O35" s="249"/>
      <c r="P35" s="378"/>
      <c r="Q35" s="249"/>
      <c r="R35" s="425"/>
      <c r="S35" s="433"/>
      <c r="T35" s="378"/>
      <c r="U35" s="508"/>
      <c r="V35" s="241"/>
      <c r="W35" s="508"/>
      <c r="X35" s="425"/>
      <c r="Y35" s="433"/>
      <c r="Z35" s="433"/>
      <c r="AA35" s="378"/>
      <c r="AB35" s="508"/>
      <c r="AC35" s="532"/>
      <c r="AD35" s="425"/>
      <c r="AE35" s="433"/>
      <c r="AF35" s="528"/>
    </row>
    <row r="36" spans="1:32" ht="18" customHeight="1" x14ac:dyDescent="0.25">
      <c r="A36" s="94">
        <v>32</v>
      </c>
      <c r="B36" s="96"/>
      <c r="C36" s="75" t="s">
        <v>207</v>
      </c>
      <c r="D36" s="53">
        <v>66766</v>
      </c>
      <c r="E36" s="54">
        <f t="shared" ref="E36:E44" si="34">D36/D$12</f>
        <v>1.2683428620077845E-2</v>
      </c>
      <c r="F36" s="165">
        <v>66750</v>
      </c>
      <c r="G36" s="164">
        <f t="shared" ref="G36:G44" si="35">F36/F$12</f>
        <v>1.3057182242466886E-2</v>
      </c>
      <c r="H36" s="125">
        <v>59427</v>
      </c>
      <c r="I36" s="54">
        <f t="shared" ref="I36:I45" si="36">H36/H$12</f>
        <v>1.0894040166078795E-2</v>
      </c>
      <c r="J36" s="165">
        <v>78761</v>
      </c>
      <c r="K36" s="164">
        <f t="shared" ref="K36:K45" si="37">J36/J$12</f>
        <v>1.4094488062159554E-2</v>
      </c>
      <c r="L36" s="329">
        <v>82116</v>
      </c>
      <c r="M36" s="211">
        <f t="shared" ref="M36:M45" si="38">L36/L$12</f>
        <v>1.6002949737532603E-2</v>
      </c>
      <c r="N36" s="243">
        <f>10786+60180+17008+21942+9927+15577+30113+3136</f>
        <v>168669</v>
      </c>
      <c r="O36" s="244">
        <f t="shared" ref="O36:O45" si="39">N36/N$12</f>
        <v>3.188780839448177E-2</v>
      </c>
      <c r="P36" s="379">
        <v>147423</v>
      </c>
      <c r="Q36" s="244">
        <f t="shared" ref="Q36:Q45" si="40">P36/P$12</f>
        <v>3.0326362786594958E-2</v>
      </c>
      <c r="R36" s="429">
        <v>136234</v>
      </c>
      <c r="S36" s="428">
        <f t="shared" ref="S36:S45" si="41">R36/R$12</f>
        <v>2.5285978563509785E-2</v>
      </c>
      <c r="T36" s="552">
        <v>89565</v>
      </c>
      <c r="U36" s="505">
        <f t="shared" ref="U36:U45" si="42">T36/T$12</f>
        <v>1.9868911547905006E-2</v>
      </c>
      <c r="V36" s="243">
        <v>125000</v>
      </c>
      <c r="W36" s="505">
        <f t="shared" ref="W36:W45" si="43">V36/V$12</f>
        <v>2.358490566037736E-2</v>
      </c>
      <c r="X36" s="427">
        <v>125000</v>
      </c>
      <c r="Y36" s="428">
        <f t="shared" ref="Y36:Y45" si="44">X36/X$12</f>
        <v>2.358490566037736E-2</v>
      </c>
      <c r="Z36" s="520">
        <f t="shared" ref="Z36:Z44" si="45">ROUND((X36-V36)/V36,4)</f>
        <v>0</v>
      </c>
      <c r="AA36" s="379">
        <v>131250</v>
      </c>
      <c r="AB36" s="505">
        <f t="shared" ref="AB36:AB45" si="46">AA36/AA$12</f>
        <v>2.3863636363636365E-2</v>
      </c>
      <c r="AC36" s="529">
        <f t="shared" si="2"/>
        <v>0.05</v>
      </c>
      <c r="AD36" s="427">
        <v>137815</v>
      </c>
      <c r="AE36" s="428">
        <f t="shared" ref="AE36:AE45" si="47">AD36/AD$12</f>
        <v>2.3761206896551725E-2</v>
      </c>
      <c r="AF36" s="520">
        <f t="shared" si="3"/>
        <v>0.05</v>
      </c>
    </row>
    <row r="37" spans="1:32" ht="18" customHeight="1" x14ac:dyDescent="0.25">
      <c r="A37" s="95">
        <v>33</v>
      </c>
      <c r="B37" s="96" t="s">
        <v>22</v>
      </c>
      <c r="C37" s="75" t="s">
        <v>25</v>
      </c>
      <c r="D37" s="53">
        <f>D311</f>
        <v>33279</v>
      </c>
      <c r="E37" s="54">
        <f t="shared" si="34"/>
        <v>6.3219575988912105E-3</v>
      </c>
      <c r="F37" s="165">
        <f>F311</f>
        <v>43464</v>
      </c>
      <c r="G37" s="164">
        <f t="shared" si="35"/>
        <v>8.5021328687128195E-3</v>
      </c>
      <c r="H37" s="125">
        <f>H311</f>
        <v>50574</v>
      </c>
      <c r="I37" s="54">
        <f t="shared" si="36"/>
        <v>9.2711257064847473E-3</v>
      </c>
      <c r="J37" s="165">
        <f>J311</f>
        <v>54167</v>
      </c>
      <c r="K37" s="164">
        <f t="shared" si="37"/>
        <v>9.6933270890795769E-3</v>
      </c>
      <c r="L37" s="329">
        <f>L311</f>
        <v>66302</v>
      </c>
      <c r="M37" s="211">
        <f t="shared" si="38"/>
        <v>1.2921082048539709E-2</v>
      </c>
      <c r="N37" s="243">
        <f>N311</f>
        <v>80914</v>
      </c>
      <c r="O37" s="244">
        <f t="shared" si="39"/>
        <v>1.5297239732441041E-2</v>
      </c>
      <c r="P37" s="379">
        <f>P311</f>
        <v>88790</v>
      </c>
      <c r="Q37" s="244">
        <f t="shared" si="40"/>
        <v>1.8264977322546457E-2</v>
      </c>
      <c r="R37" s="429">
        <f>R311</f>
        <v>85705</v>
      </c>
      <c r="S37" s="428">
        <f t="shared" si="41"/>
        <v>1.5907444490990547E-2</v>
      </c>
      <c r="T37" s="380">
        <f>T311</f>
        <v>107518</v>
      </c>
      <c r="U37" s="505">
        <f t="shared" si="42"/>
        <v>2.3851567373501373E-2</v>
      </c>
      <c r="V37" s="243">
        <f>V311</f>
        <v>127660</v>
      </c>
      <c r="W37" s="505">
        <f t="shared" si="43"/>
        <v>2.4086792452830189E-2</v>
      </c>
      <c r="X37" s="427">
        <f>X311</f>
        <v>122085</v>
      </c>
      <c r="Y37" s="428">
        <f t="shared" si="44"/>
        <v>2.3034905660377358E-2</v>
      </c>
      <c r="Z37" s="520">
        <f t="shared" si="45"/>
        <v>-4.3700000000000003E-2</v>
      </c>
      <c r="AA37" s="379">
        <f>AA311</f>
        <v>128030</v>
      </c>
      <c r="AB37" s="505">
        <f t="shared" si="46"/>
        <v>2.3278181818181819E-2</v>
      </c>
      <c r="AC37" s="529">
        <f t="shared" si="2"/>
        <v>4.87E-2</v>
      </c>
      <c r="AD37" s="427">
        <f>AD311</f>
        <v>133110</v>
      </c>
      <c r="AE37" s="428">
        <f t="shared" si="47"/>
        <v>2.2950000000000002E-2</v>
      </c>
      <c r="AF37" s="520">
        <f t="shared" si="3"/>
        <v>3.9699999999999999E-2</v>
      </c>
    </row>
    <row r="38" spans="1:32" ht="18" customHeight="1" x14ac:dyDescent="0.25">
      <c r="A38" s="95">
        <v>34</v>
      </c>
      <c r="B38" s="96" t="s">
        <v>21</v>
      </c>
      <c r="C38" s="80" t="s">
        <v>12</v>
      </c>
      <c r="D38" s="57">
        <v>9970</v>
      </c>
      <c r="E38" s="58">
        <f t="shared" si="34"/>
        <v>1.893984712910405E-3</v>
      </c>
      <c r="F38" s="173">
        <v>10294</v>
      </c>
      <c r="G38" s="174">
        <f t="shared" si="35"/>
        <v>2.0136424569880767E-3</v>
      </c>
      <c r="H38" s="130">
        <v>13331</v>
      </c>
      <c r="I38" s="58">
        <f t="shared" si="36"/>
        <v>2.4438125675870638E-3</v>
      </c>
      <c r="J38" s="173">
        <v>14572</v>
      </c>
      <c r="K38" s="174">
        <f t="shared" si="37"/>
        <v>2.6076977189445159E-3</v>
      </c>
      <c r="L38" s="335">
        <v>15224</v>
      </c>
      <c r="M38" s="215">
        <f t="shared" si="38"/>
        <v>2.9668871694212623E-3</v>
      </c>
      <c r="N38" s="253">
        <v>14324</v>
      </c>
      <c r="O38" s="254">
        <f t="shared" si="39"/>
        <v>2.7080315140455974E-3</v>
      </c>
      <c r="P38" s="385">
        <v>17350</v>
      </c>
      <c r="Q38" s="254">
        <f t="shared" si="40"/>
        <v>3.569065846899212E-3</v>
      </c>
      <c r="R38" s="492">
        <v>14776</v>
      </c>
      <c r="S38" s="438">
        <f t="shared" si="41"/>
        <v>2.7425284382343656E-3</v>
      </c>
      <c r="T38" s="553">
        <v>11760</v>
      </c>
      <c r="U38" s="509">
        <f t="shared" si="42"/>
        <v>2.608813708517422E-3</v>
      </c>
      <c r="V38" s="253">
        <v>15000</v>
      </c>
      <c r="W38" s="509">
        <f t="shared" si="43"/>
        <v>2.8301886792452828E-3</v>
      </c>
      <c r="X38" s="437">
        <v>15000</v>
      </c>
      <c r="Y38" s="438">
        <f t="shared" si="44"/>
        <v>2.8301886792452828E-3</v>
      </c>
      <c r="Z38" s="520">
        <f t="shared" si="45"/>
        <v>0</v>
      </c>
      <c r="AA38" s="385">
        <v>15750</v>
      </c>
      <c r="AB38" s="509">
        <f t="shared" si="46"/>
        <v>2.8636363636363638E-3</v>
      </c>
      <c r="AC38" s="529">
        <f t="shared" si="2"/>
        <v>0.05</v>
      </c>
      <c r="AD38" s="437">
        <v>16535</v>
      </c>
      <c r="AE38" s="438">
        <f t="shared" si="47"/>
        <v>2.8508620689655173E-3</v>
      </c>
      <c r="AF38" s="520">
        <f t="shared" si="3"/>
        <v>4.9799999999999997E-2</v>
      </c>
    </row>
    <row r="39" spans="1:32" ht="18" customHeight="1" x14ac:dyDescent="0.25">
      <c r="A39" s="94">
        <v>35</v>
      </c>
      <c r="B39" s="96" t="s">
        <v>16</v>
      </c>
      <c r="C39" s="80" t="s">
        <v>13</v>
      </c>
      <c r="D39" s="57">
        <v>7240</v>
      </c>
      <c r="E39" s="58">
        <f t="shared" si="34"/>
        <v>1.3753710452829822E-3</v>
      </c>
      <c r="F39" s="173">
        <v>7585</v>
      </c>
      <c r="G39" s="174">
        <f t="shared" si="35"/>
        <v>1.4837262518218926E-3</v>
      </c>
      <c r="H39" s="130">
        <v>6338</v>
      </c>
      <c r="I39" s="58">
        <f t="shared" si="36"/>
        <v>1.1618696311879687E-3</v>
      </c>
      <c r="J39" s="173">
        <v>6795</v>
      </c>
      <c r="K39" s="174">
        <f t="shared" si="37"/>
        <v>1.2159831183247314E-3</v>
      </c>
      <c r="L39" s="335">
        <v>5221</v>
      </c>
      <c r="M39" s="215">
        <f t="shared" si="38"/>
        <v>1.0174801570906732E-3</v>
      </c>
      <c r="N39" s="253">
        <v>2615</v>
      </c>
      <c r="O39" s="254">
        <f t="shared" si="39"/>
        <v>4.9438022963063655E-4</v>
      </c>
      <c r="P39" s="385">
        <v>1573</v>
      </c>
      <c r="Q39" s="254">
        <f t="shared" si="40"/>
        <v>3.2358158946238968E-4</v>
      </c>
      <c r="R39" s="492">
        <v>148</v>
      </c>
      <c r="S39" s="438">
        <f t="shared" si="41"/>
        <v>2.7469830052699383E-5</v>
      </c>
      <c r="T39" s="553">
        <v>93</v>
      </c>
      <c r="U39" s="509">
        <f t="shared" si="42"/>
        <v>2.0630924735724509E-5</v>
      </c>
      <c r="V39" s="253">
        <v>100</v>
      </c>
      <c r="W39" s="509">
        <f t="shared" si="43"/>
        <v>1.8867924528301888E-5</v>
      </c>
      <c r="X39" s="437">
        <v>100</v>
      </c>
      <c r="Y39" s="438">
        <f t="shared" si="44"/>
        <v>1.8867924528301888E-5</v>
      </c>
      <c r="Z39" s="520">
        <f t="shared" si="45"/>
        <v>0</v>
      </c>
      <c r="AA39" s="385">
        <v>200</v>
      </c>
      <c r="AB39" s="509">
        <f t="shared" si="46"/>
        <v>3.6363636363636364E-5</v>
      </c>
      <c r="AC39" s="529">
        <f t="shared" si="2"/>
        <v>1</v>
      </c>
      <c r="AD39" s="437">
        <v>200</v>
      </c>
      <c r="AE39" s="438">
        <f t="shared" si="47"/>
        <v>3.4482758620689657E-5</v>
      </c>
      <c r="AF39" s="520">
        <f t="shared" si="3"/>
        <v>0</v>
      </c>
    </row>
    <row r="40" spans="1:32" ht="18" customHeight="1" x14ac:dyDescent="0.25">
      <c r="A40" s="95">
        <v>36</v>
      </c>
      <c r="B40" s="96" t="s">
        <v>338</v>
      </c>
      <c r="C40" s="80" t="s">
        <v>288</v>
      </c>
      <c r="D40" s="57">
        <v>0</v>
      </c>
      <c r="E40" s="58">
        <f t="shared" si="34"/>
        <v>0</v>
      </c>
      <c r="F40" s="173">
        <v>0</v>
      </c>
      <c r="G40" s="174">
        <f t="shared" si="35"/>
        <v>0</v>
      </c>
      <c r="H40" s="130">
        <v>0</v>
      </c>
      <c r="I40" s="58">
        <f t="shared" si="36"/>
        <v>0</v>
      </c>
      <c r="J40" s="173">
        <v>7962</v>
      </c>
      <c r="K40" s="174">
        <f t="shared" si="37"/>
        <v>1.4248208371010318E-3</v>
      </c>
      <c r="L40" s="335">
        <v>15570</v>
      </c>
      <c r="M40" s="215">
        <f t="shared" si="38"/>
        <v>3.0343164232717454E-3</v>
      </c>
      <c r="N40" s="253">
        <v>17597</v>
      </c>
      <c r="O40" s="254">
        <f t="shared" si="39"/>
        <v>3.3268102871167539E-3</v>
      </c>
      <c r="P40" s="385">
        <v>24127</v>
      </c>
      <c r="Q40" s="254">
        <f t="shared" si="40"/>
        <v>4.9631614805842814E-3</v>
      </c>
      <c r="R40" s="492">
        <v>29422</v>
      </c>
      <c r="S40" s="438">
        <f t="shared" si="41"/>
        <v>5.4609279716927115E-3</v>
      </c>
      <c r="T40" s="553">
        <v>7845</v>
      </c>
      <c r="U40" s="509">
        <f t="shared" si="42"/>
        <v>1.7403183285135352E-3</v>
      </c>
      <c r="V40" s="253">
        <v>22000</v>
      </c>
      <c r="W40" s="509">
        <f t="shared" si="43"/>
        <v>4.1509433962264152E-3</v>
      </c>
      <c r="X40" s="437">
        <v>22000</v>
      </c>
      <c r="Y40" s="438">
        <f t="shared" si="44"/>
        <v>4.1509433962264152E-3</v>
      </c>
      <c r="Z40" s="520">
        <f t="shared" si="45"/>
        <v>0</v>
      </c>
      <c r="AA40" s="385">
        <v>25000</v>
      </c>
      <c r="AB40" s="509">
        <f t="shared" si="46"/>
        <v>4.5454545454545452E-3</v>
      </c>
      <c r="AC40" s="529">
        <f t="shared" si="2"/>
        <v>0.13639999999999999</v>
      </c>
      <c r="AD40" s="437">
        <v>25000</v>
      </c>
      <c r="AE40" s="438">
        <f t="shared" si="47"/>
        <v>4.3103448275862068E-3</v>
      </c>
      <c r="AF40" s="520">
        <f t="shared" si="3"/>
        <v>0</v>
      </c>
    </row>
    <row r="41" spans="1:32" ht="18" customHeight="1" x14ac:dyDescent="0.25">
      <c r="A41" s="95">
        <v>37</v>
      </c>
      <c r="B41" s="96" t="s">
        <v>15</v>
      </c>
      <c r="C41" s="80" t="s">
        <v>351</v>
      </c>
      <c r="D41" s="72">
        <v>1031</v>
      </c>
      <c r="E41" s="58">
        <f t="shared" si="34"/>
        <v>1.9585739608933076E-4</v>
      </c>
      <c r="F41" s="173">
        <v>1585</v>
      </c>
      <c r="G41" s="174">
        <f t="shared" si="35"/>
        <v>3.1004694912823994E-4</v>
      </c>
      <c r="H41" s="130">
        <v>419</v>
      </c>
      <c r="I41" s="58">
        <f t="shared" si="36"/>
        <v>7.6810251730476313E-5</v>
      </c>
      <c r="J41" s="173">
        <v>3794</v>
      </c>
      <c r="K41" s="174">
        <f t="shared" si="37"/>
        <v>6.7894627681001191E-4</v>
      </c>
      <c r="L41" s="335">
        <v>313</v>
      </c>
      <c r="M41" s="215">
        <f t="shared" si="38"/>
        <v>6.0998140043934255E-5</v>
      </c>
      <c r="N41" s="362">
        <v>615</v>
      </c>
      <c r="O41" s="254">
        <f t="shared" si="39"/>
        <v>1.1626915534334281E-4</v>
      </c>
      <c r="P41" s="386">
        <v>394</v>
      </c>
      <c r="Q41" s="254">
        <f t="shared" si="40"/>
        <v>8.1049679750910063E-5</v>
      </c>
      <c r="R41" s="492">
        <v>133</v>
      </c>
      <c r="S41" s="438">
        <f t="shared" si="41"/>
        <v>2.4685725655466338E-5</v>
      </c>
      <c r="T41" s="553">
        <v>225</v>
      </c>
      <c r="U41" s="509">
        <f t="shared" si="42"/>
        <v>4.9913527586430267E-5</v>
      </c>
      <c r="V41" s="253">
        <v>225</v>
      </c>
      <c r="W41" s="509">
        <f t="shared" si="43"/>
        <v>4.2452830188679249E-5</v>
      </c>
      <c r="X41" s="437">
        <v>200</v>
      </c>
      <c r="Y41" s="438">
        <f t="shared" si="44"/>
        <v>3.7735849056603776E-5</v>
      </c>
      <c r="Z41" s="520">
        <f t="shared" si="45"/>
        <v>-0.1111</v>
      </c>
      <c r="AA41" s="385">
        <v>200</v>
      </c>
      <c r="AB41" s="509">
        <f t="shared" si="46"/>
        <v>3.6363636363636364E-5</v>
      </c>
      <c r="AC41" s="529">
        <f t="shared" si="2"/>
        <v>0</v>
      </c>
      <c r="AD41" s="437">
        <v>200</v>
      </c>
      <c r="AE41" s="438">
        <f t="shared" si="47"/>
        <v>3.4482758620689657E-5</v>
      </c>
      <c r="AF41" s="520">
        <f t="shared" si="3"/>
        <v>0</v>
      </c>
    </row>
    <row r="42" spans="1:32" ht="18" customHeight="1" x14ac:dyDescent="0.25">
      <c r="A42" s="94">
        <v>38</v>
      </c>
      <c r="B42" s="96" t="s">
        <v>20</v>
      </c>
      <c r="C42" s="80" t="s">
        <v>396</v>
      </c>
      <c r="D42" s="57">
        <v>0</v>
      </c>
      <c r="E42" s="58">
        <f t="shared" si="34"/>
        <v>0</v>
      </c>
      <c r="F42" s="173">
        <v>0</v>
      </c>
      <c r="G42" s="174">
        <f t="shared" si="35"/>
        <v>0</v>
      </c>
      <c r="H42" s="130">
        <v>0</v>
      </c>
      <c r="I42" s="58">
        <f t="shared" si="36"/>
        <v>0</v>
      </c>
      <c r="J42" s="173">
        <v>0</v>
      </c>
      <c r="K42" s="174">
        <f t="shared" si="37"/>
        <v>0</v>
      </c>
      <c r="L42" s="335">
        <v>7990</v>
      </c>
      <c r="M42" s="215">
        <f t="shared" si="38"/>
        <v>1.5571090701311011E-3</v>
      </c>
      <c r="N42" s="253">
        <f>27325+5000</f>
        <v>32325</v>
      </c>
      <c r="O42" s="254">
        <f t="shared" si="39"/>
        <v>6.1112202381683849E-3</v>
      </c>
      <c r="P42" s="385">
        <f>37958+2500</f>
        <v>40458</v>
      </c>
      <c r="Q42" s="254">
        <f t="shared" si="40"/>
        <v>8.3226089933053794E-3</v>
      </c>
      <c r="R42" s="492">
        <v>71345</v>
      </c>
      <c r="S42" s="438">
        <f t="shared" si="41"/>
        <v>1.3242128548039443E-2</v>
      </c>
      <c r="T42" s="553">
        <v>58306</v>
      </c>
      <c r="U42" s="509">
        <f t="shared" si="42"/>
        <v>1.2934480619797347E-2</v>
      </c>
      <c r="V42" s="253">
        <v>55000</v>
      </c>
      <c r="W42" s="509">
        <f t="shared" si="43"/>
        <v>1.0377358490566037E-2</v>
      </c>
      <c r="X42" s="437">
        <v>60000</v>
      </c>
      <c r="Y42" s="438">
        <f t="shared" si="44"/>
        <v>1.1320754716981131E-2</v>
      </c>
      <c r="Z42" s="520">
        <f t="shared" si="45"/>
        <v>9.0899999999999995E-2</v>
      </c>
      <c r="AA42" s="385">
        <v>80000</v>
      </c>
      <c r="AB42" s="509">
        <f t="shared" si="46"/>
        <v>1.4545454545454545E-2</v>
      </c>
      <c r="AC42" s="529">
        <f t="shared" si="2"/>
        <v>0.33329999999999999</v>
      </c>
      <c r="AD42" s="437">
        <v>100000</v>
      </c>
      <c r="AE42" s="438">
        <f t="shared" si="47"/>
        <v>1.7241379310344827E-2</v>
      </c>
      <c r="AF42" s="520">
        <f t="shared" si="3"/>
        <v>0.25</v>
      </c>
    </row>
    <row r="43" spans="1:32" ht="18" customHeight="1" x14ac:dyDescent="0.25">
      <c r="A43" s="95">
        <v>39</v>
      </c>
      <c r="B43" s="96" t="s">
        <v>20</v>
      </c>
      <c r="C43" s="80" t="s">
        <v>14</v>
      </c>
      <c r="D43" s="57">
        <v>29556</v>
      </c>
      <c r="E43" s="58">
        <f t="shared" si="34"/>
        <v>5.6147053334784282E-3</v>
      </c>
      <c r="F43" s="173">
        <v>14900</v>
      </c>
      <c r="G43" s="174">
        <f t="shared" si="35"/>
        <v>2.9146369350225706E-3</v>
      </c>
      <c r="H43" s="130">
        <v>14670</v>
      </c>
      <c r="I43" s="58">
        <f t="shared" si="36"/>
        <v>2.6892754006827865E-3</v>
      </c>
      <c r="J43" s="173">
        <v>25559</v>
      </c>
      <c r="K43" s="174">
        <f t="shared" si="37"/>
        <v>4.5738502606713482E-3</v>
      </c>
      <c r="L43" s="335">
        <v>13248</v>
      </c>
      <c r="M43" s="215">
        <f t="shared" si="38"/>
        <v>2.5817998699745716E-3</v>
      </c>
      <c r="N43" s="253">
        <f>10206+9818</f>
        <v>20024</v>
      </c>
      <c r="O43" s="254">
        <f t="shared" si="39"/>
        <v>3.7856480757643847E-3</v>
      </c>
      <c r="P43" s="385">
        <f>14260+100</f>
        <v>14360</v>
      </c>
      <c r="Q43" s="254">
        <f t="shared" si="40"/>
        <v>2.953993404119463E-3</v>
      </c>
      <c r="R43" s="492">
        <v>11924</v>
      </c>
      <c r="S43" s="438">
        <f t="shared" si="41"/>
        <v>2.2131773888404557E-3</v>
      </c>
      <c r="T43" s="553">
        <v>7810</v>
      </c>
      <c r="U43" s="509">
        <f t="shared" si="42"/>
        <v>1.7325540020000905E-3</v>
      </c>
      <c r="V43" s="253">
        <v>10000</v>
      </c>
      <c r="W43" s="509">
        <f t="shared" si="43"/>
        <v>1.8867924528301887E-3</v>
      </c>
      <c r="X43" s="437">
        <v>5000</v>
      </c>
      <c r="Y43" s="438">
        <f t="shared" si="44"/>
        <v>9.4339622641509435E-4</v>
      </c>
      <c r="Z43" s="520">
        <f t="shared" si="45"/>
        <v>-0.5</v>
      </c>
      <c r="AA43" s="385">
        <v>10000</v>
      </c>
      <c r="AB43" s="509">
        <f t="shared" si="46"/>
        <v>1.8181818181818182E-3</v>
      </c>
      <c r="AC43" s="529">
        <f t="shared" si="2"/>
        <v>1</v>
      </c>
      <c r="AD43" s="437">
        <v>10000</v>
      </c>
      <c r="AE43" s="438">
        <f t="shared" si="47"/>
        <v>1.7241379310344827E-3</v>
      </c>
      <c r="AF43" s="520">
        <f t="shared" si="3"/>
        <v>0</v>
      </c>
    </row>
    <row r="44" spans="1:32" ht="18" customHeight="1" x14ac:dyDescent="0.25">
      <c r="A44" s="302">
        <v>40</v>
      </c>
      <c r="B44" s="96" t="s">
        <v>23</v>
      </c>
      <c r="C44" s="76" t="s">
        <v>369</v>
      </c>
      <c r="D44" s="55">
        <f>286441-238874</f>
        <v>47567</v>
      </c>
      <c r="E44" s="56">
        <f t="shared" si="34"/>
        <v>9.0362257611844767E-3</v>
      </c>
      <c r="F44" s="166">
        <v>40309</v>
      </c>
      <c r="G44" s="167">
        <f t="shared" si="35"/>
        <v>7.8849731687130747E-3</v>
      </c>
      <c r="H44" s="126">
        <v>41013</v>
      </c>
      <c r="I44" s="56">
        <f t="shared" si="36"/>
        <v>7.5184220864487469E-3</v>
      </c>
      <c r="J44" s="166">
        <v>828</v>
      </c>
      <c r="K44" s="167">
        <f t="shared" si="37"/>
        <v>1.4817277733228515E-4</v>
      </c>
      <c r="L44" s="331">
        <v>2705</v>
      </c>
      <c r="M44" s="212">
        <f t="shared" si="38"/>
        <v>5.2715644990045411E-4</v>
      </c>
      <c r="N44" s="246">
        <v>6707</v>
      </c>
      <c r="O44" s="247">
        <f t="shared" si="39"/>
        <v>1.2679954876224394E-3</v>
      </c>
      <c r="P44" s="381">
        <v>1790</v>
      </c>
      <c r="Q44" s="247">
        <f t="shared" si="40"/>
        <v>3.6822062627951522E-4</v>
      </c>
      <c r="R44" s="491">
        <v>1209</v>
      </c>
      <c r="S44" s="431">
        <f t="shared" si="41"/>
        <v>2.2439881441698348E-4</v>
      </c>
      <c r="T44" s="554">
        <v>1621</v>
      </c>
      <c r="U44" s="506">
        <f t="shared" si="42"/>
        <v>3.5959923652268203E-4</v>
      </c>
      <c r="V44" s="246">
        <v>1750</v>
      </c>
      <c r="W44" s="506">
        <f t="shared" si="43"/>
        <v>3.3018867924528304E-4</v>
      </c>
      <c r="X44" s="430">
        <v>1500</v>
      </c>
      <c r="Y44" s="431">
        <f t="shared" si="44"/>
        <v>2.8301886792452831E-4</v>
      </c>
      <c r="Z44" s="521">
        <f t="shared" si="45"/>
        <v>-0.1429</v>
      </c>
      <c r="AA44" s="381">
        <v>1500</v>
      </c>
      <c r="AB44" s="506">
        <f t="shared" si="46"/>
        <v>2.7272727272727274E-4</v>
      </c>
      <c r="AC44" s="530">
        <f t="shared" si="2"/>
        <v>0</v>
      </c>
      <c r="AD44" s="430">
        <v>1500</v>
      </c>
      <c r="AE44" s="431">
        <f t="shared" si="47"/>
        <v>2.5862068965517242E-4</v>
      </c>
      <c r="AF44" s="523">
        <f t="shared" si="3"/>
        <v>0</v>
      </c>
    </row>
    <row r="45" spans="1:32" s="2" customFormat="1" ht="18" customHeight="1" x14ac:dyDescent="0.25">
      <c r="A45" s="303">
        <v>41</v>
      </c>
      <c r="B45" s="96"/>
      <c r="C45" s="79" t="s">
        <v>283</v>
      </c>
      <c r="D45" s="34">
        <f>SUM(D36:D44)</f>
        <v>195409</v>
      </c>
      <c r="E45" s="36">
        <f>SUM(E36:E44)</f>
        <v>3.7121530467914686E-2</v>
      </c>
      <c r="F45" s="175">
        <f>SUM(F36:F44)</f>
        <v>184887</v>
      </c>
      <c r="G45" s="176">
        <f>SUM(G36:G44)</f>
        <v>3.6166340872853558E-2</v>
      </c>
      <c r="H45" s="127">
        <f>SUM(H36:H44)</f>
        <v>185772</v>
      </c>
      <c r="I45" s="32">
        <f t="shared" si="36"/>
        <v>3.4055355810200583E-2</v>
      </c>
      <c r="J45" s="170">
        <f>SUM(J36:J44)</f>
        <v>192438</v>
      </c>
      <c r="K45" s="168">
        <f t="shared" si="37"/>
        <v>3.4437286140423053E-2</v>
      </c>
      <c r="L45" s="332">
        <f>SUM(L36:L44)</f>
        <v>208689</v>
      </c>
      <c r="M45" s="213">
        <f t="shared" si="38"/>
        <v>4.0669779065906055E-2</v>
      </c>
      <c r="N45" s="250">
        <f>SUM(N36:N44)</f>
        <v>343790</v>
      </c>
      <c r="O45" s="248">
        <f t="shared" si="39"/>
        <v>6.4995403114614353E-2</v>
      </c>
      <c r="P45" s="382">
        <f>SUM(P36:P44)</f>
        <v>336265</v>
      </c>
      <c r="Q45" s="248">
        <f t="shared" si="40"/>
        <v>6.9173021729542566E-2</v>
      </c>
      <c r="R45" s="434">
        <f>SUM(R36:R44)</f>
        <v>350896</v>
      </c>
      <c r="S45" s="432">
        <f t="shared" si="41"/>
        <v>6.5128739771432451E-2</v>
      </c>
      <c r="T45" s="382">
        <f>SUM(T36:T44)</f>
        <v>284743</v>
      </c>
      <c r="U45" s="507">
        <f t="shared" si="42"/>
        <v>6.3166789269079607E-2</v>
      </c>
      <c r="V45" s="250">
        <f>SUM(V36:V44)</f>
        <v>356735</v>
      </c>
      <c r="W45" s="507">
        <f t="shared" si="43"/>
        <v>6.7308490566037729E-2</v>
      </c>
      <c r="X45" s="434">
        <f>SUM(X36:X44)</f>
        <v>350885</v>
      </c>
      <c r="Y45" s="432">
        <f t="shared" si="44"/>
        <v>6.6204716981132075E-2</v>
      </c>
      <c r="Z45" s="518">
        <f>ROUND((X45-V45)/V45,4)</f>
        <v>-1.6400000000000001E-2</v>
      </c>
      <c r="AA45" s="382">
        <f>SUM(AA36:AA44)</f>
        <v>391930</v>
      </c>
      <c r="AB45" s="507">
        <f t="shared" si="46"/>
        <v>7.1260000000000004E-2</v>
      </c>
      <c r="AC45" s="531">
        <f t="shared" si="2"/>
        <v>0.11700000000000001</v>
      </c>
      <c r="AD45" s="434">
        <f>SUM(AD36:AD44)</f>
        <v>424360</v>
      </c>
      <c r="AE45" s="432">
        <f t="shared" si="47"/>
        <v>7.3165517241379305E-2</v>
      </c>
      <c r="AF45" s="526">
        <f t="shared" si="3"/>
        <v>8.2699999999999996E-2</v>
      </c>
    </row>
    <row r="46" spans="1:32" s="2" customFormat="1" ht="15" customHeight="1" x14ac:dyDescent="0.25">
      <c r="A46" s="304">
        <v>42</v>
      </c>
      <c r="B46" s="96"/>
      <c r="C46" s="78"/>
      <c r="D46" s="35"/>
      <c r="E46" s="29"/>
      <c r="F46" s="171"/>
      <c r="G46" s="160"/>
      <c r="H46" s="128"/>
      <c r="I46" s="29"/>
      <c r="J46" s="171"/>
      <c r="K46" s="160"/>
      <c r="L46" s="333"/>
      <c r="M46" s="209"/>
      <c r="N46" s="251"/>
      <c r="O46" s="242"/>
      <c r="P46" s="383"/>
      <c r="Q46" s="242"/>
      <c r="R46" s="435"/>
      <c r="S46" s="426"/>
      <c r="T46" s="383"/>
      <c r="U46" s="504"/>
      <c r="V46" s="251"/>
      <c r="W46" s="504"/>
      <c r="X46" s="435"/>
      <c r="Y46" s="426"/>
      <c r="Z46" s="426"/>
      <c r="AA46" s="383"/>
      <c r="AB46" s="504"/>
      <c r="AC46" s="534"/>
      <c r="AD46" s="435"/>
      <c r="AE46" s="426"/>
      <c r="AF46" s="527"/>
    </row>
    <row r="47" spans="1:32" ht="18" customHeight="1" x14ac:dyDescent="0.25">
      <c r="A47" s="303">
        <v>43</v>
      </c>
      <c r="B47" s="96"/>
      <c r="C47" s="77" t="s">
        <v>375</v>
      </c>
      <c r="D47" s="68">
        <f>SUM(D34+D45)</f>
        <v>-1060112.3500000001</v>
      </c>
      <c r="E47" s="32">
        <f>SUM(E34+E45)</f>
        <v>-0.20138782195261026</v>
      </c>
      <c r="F47" s="172">
        <f>SUM(F34+F45)</f>
        <v>-1145383</v>
      </c>
      <c r="G47" s="168">
        <f>SUM(G34+G45)</f>
        <v>-0.22405205345952736</v>
      </c>
      <c r="H47" s="129">
        <f>SUM(H34+H45)</f>
        <v>-1138400</v>
      </c>
      <c r="I47" s="32">
        <f>H47/H$12</f>
        <v>-0.20868923763717001</v>
      </c>
      <c r="J47" s="172">
        <f>SUM(J34+J45)</f>
        <v>-1280878</v>
      </c>
      <c r="K47" s="168">
        <f>J47/J$12</f>
        <v>-0.22921648633311925</v>
      </c>
      <c r="L47" s="334">
        <f>SUM(L34+L45)</f>
        <v>-1546428</v>
      </c>
      <c r="M47" s="213">
        <f>L47/L$12</f>
        <v>-0.30137134732224014</v>
      </c>
      <c r="N47" s="252">
        <f>SUM(N34+N45)</f>
        <v>-1535894</v>
      </c>
      <c r="O47" s="248">
        <f>N47/N$12</f>
        <v>-0.29036926516570433</v>
      </c>
      <c r="P47" s="384">
        <f>SUM(P34+P45)</f>
        <v>-1657235</v>
      </c>
      <c r="Q47" s="248">
        <f>P47/P$12</f>
        <v>-0.34090955843147064</v>
      </c>
      <c r="R47" s="436">
        <f>SUM(R34+R45)</f>
        <v>-1171030</v>
      </c>
      <c r="S47" s="432">
        <f>R47/R$12</f>
        <v>-0.21735131815278758</v>
      </c>
      <c r="T47" s="384">
        <f>SUM(T34+T45)</f>
        <v>-545138</v>
      </c>
      <c r="U47" s="507">
        <f>T47/T$12</f>
        <v>-0.12093226933960632</v>
      </c>
      <c r="V47" s="252">
        <f>SUM(V34+V45)</f>
        <v>-1191643</v>
      </c>
      <c r="W47" s="507">
        <f>V47/V$12</f>
        <v>-0.22483830188679246</v>
      </c>
      <c r="X47" s="436">
        <f>SUM(X34+X45)</f>
        <v>-1260925</v>
      </c>
      <c r="Y47" s="432">
        <f>X47/X$12</f>
        <v>-0.23791037735849058</v>
      </c>
      <c r="Z47" s="518">
        <f>ROUND((X47-V47)/V47,4)</f>
        <v>5.8099999999999999E-2</v>
      </c>
      <c r="AA47" s="384">
        <f>SUM(AA34+AA45)</f>
        <v>-1143860</v>
      </c>
      <c r="AB47" s="507">
        <f>AA47/AA$12</f>
        <v>-0.20797454545454547</v>
      </c>
      <c r="AC47" s="531">
        <f t="shared" si="2"/>
        <v>-9.2799999999999994E-2</v>
      </c>
      <c r="AD47" s="436">
        <f>SUM(AD34+AD45)</f>
        <v>-1041905</v>
      </c>
      <c r="AE47" s="432">
        <f>AD47/AD$12</f>
        <v>-0.17963879310344827</v>
      </c>
      <c r="AF47" s="526">
        <f t="shared" si="3"/>
        <v>-8.9099999999999999E-2</v>
      </c>
    </row>
    <row r="48" spans="1:32" ht="15" customHeight="1" x14ac:dyDescent="0.25">
      <c r="A48" s="94">
        <v>44</v>
      </c>
      <c r="B48" s="96"/>
      <c r="C48" s="73"/>
      <c r="D48" s="28"/>
      <c r="E48" s="31"/>
      <c r="F48" s="159"/>
      <c r="G48" s="169"/>
      <c r="H48" s="122"/>
      <c r="I48" s="31"/>
      <c r="J48" s="159"/>
      <c r="K48" s="169"/>
      <c r="L48" s="328"/>
      <c r="M48" s="214"/>
      <c r="N48" s="241"/>
      <c r="O48" s="249"/>
      <c r="P48" s="378"/>
      <c r="Q48" s="249"/>
      <c r="R48" s="425"/>
      <c r="S48" s="433"/>
      <c r="T48" s="378"/>
      <c r="U48" s="508"/>
      <c r="V48" s="241"/>
      <c r="W48" s="508"/>
      <c r="X48" s="425"/>
      <c r="Y48" s="433"/>
      <c r="Z48" s="433"/>
      <c r="AA48" s="378"/>
      <c r="AB48" s="508"/>
      <c r="AC48" s="532"/>
      <c r="AD48" s="425"/>
      <c r="AE48" s="433"/>
      <c r="AF48" s="528"/>
    </row>
    <row r="49" spans="1:32" ht="18" hidden="1" customHeight="1" x14ac:dyDescent="0.25">
      <c r="A49" s="95">
        <v>47</v>
      </c>
      <c r="B49" s="96" t="s">
        <v>17</v>
      </c>
      <c r="C49" s="74" t="s">
        <v>27</v>
      </c>
      <c r="D49" s="51">
        <v>432500</v>
      </c>
      <c r="E49" s="52">
        <f>D49/D$12</f>
        <v>8.2161322801780359E-2</v>
      </c>
      <c r="F49" s="161">
        <v>432500</v>
      </c>
      <c r="G49" s="162">
        <f>F49/F$12</f>
        <v>8.4602716402500791E-2</v>
      </c>
      <c r="H49" s="123">
        <v>432500</v>
      </c>
      <c r="I49" s="52">
        <f>H49/H$12</f>
        <v>7.9285045043988076E-2</v>
      </c>
      <c r="J49" s="161">
        <v>432500</v>
      </c>
      <c r="K49" s="162">
        <f>J49/J$12</f>
        <v>7.7397012314267308E-2</v>
      </c>
      <c r="L49" s="336">
        <v>432500</v>
      </c>
      <c r="M49" s="210">
        <f>L49/L$12</f>
        <v>8.4286567313104035E-2</v>
      </c>
      <c r="N49" s="255">
        <v>432500</v>
      </c>
      <c r="O49" s="256">
        <f>N49/N$12</f>
        <v>8.1766519814627264E-2</v>
      </c>
      <c r="P49" s="387">
        <v>432500</v>
      </c>
      <c r="Q49" s="256">
        <f>P49/P$12</f>
        <v>8.8969508863625896E-2</v>
      </c>
      <c r="R49" s="439">
        <v>432500</v>
      </c>
      <c r="S49" s="440">
        <f>R49/R$12</f>
        <v>8.0275010120219481E-2</v>
      </c>
      <c r="T49" s="387">
        <v>432500</v>
      </c>
      <c r="U49" s="510">
        <f>T49/T$12</f>
        <v>9.594489191613817E-2</v>
      </c>
      <c r="V49" s="255">
        <v>432500</v>
      </c>
      <c r="W49" s="510">
        <f>V49/V$12</f>
        <v>8.1603773584905656E-2</v>
      </c>
      <c r="X49" s="439">
        <v>432500</v>
      </c>
      <c r="Y49" s="440">
        <f>X49/X$12</f>
        <v>8.1603773584905656E-2</v>
      </c>
      <c r="Z49" s="440">
        <f t="shared" ref="Z49:Z51" si="48">X49/X$12</f>
        <v>8.1603773584905656E-2</v>
      </c>
      <c r="AA49" s="387">
        <v>432500</v>
      </c>
      <c r="AB49" s="510">
        <f>AA49/AA$12</f>
        <v>7.8636363636363643E-2</v>
      </c>
      <c r="AC49" s="529">
        <f t="shared" si="2"/>
        <v>0</v>
      </c>
      <c r="AD49" s="439">
        <v>432500</v>
      </c>
      <c r="AE49" s="440">
        <f>AD49/AD$12</f>
        <v>7.4568965517241376E-2</v>
      </c>
      <c r="AF49" s="520">
        <f t="shared" si="3"/>
        <v>0</v>
      </c>
    </row>
    <row r="50" spans="1:32" ht="18" hidden="1" customHeight="1" x14ac:dyDescent="0.25">
      <c r="A50" s="95">
        <v>48</v>
      </c>
      <c r="B50" s="96" t="s">
        <v>19</v>
      </c>
      <c r="C50" s="81" t="s">
        <v>28</v>
      </c>
      <c r="D50" s="53">
        <v>85000</v>
      </c>
      <c r="E50" s="54">
        <f>D50/D$12</f>
        <v>1.6147311995725621E-2</v>
      </c>
      <c r="F50" s="165">
        <v>85000</v>
      </c>
      <c r="G50" s="164">
        <f>F50/F$12</f>
        <v>1.6627123454826746E-2</v>
      </c>
      <c r="H50" s="125">
        <v>85000</v>
      </c>
      <c r="I50" s="54">
        <f>H50/H$12</f>
        <v>1.5582031973962974E-2</v>
      </c>
      <c r="J50" s="165">
        <v>81000</v>
      </c>
      <c r="K50" s="164">
        <f>J50/J$12</f>
        <v>1.4495162999897461E-2</v>
      </c>
      <c r="L50" s="329">
        <v>81000</v>
      </c>
      <c r="M50" s="211">
        <f>L50/L$12</f>
        <v>1.5785461161529311E-2</v>
      </c>
      <c r="N50" s="243">
        <v>81000</v>
      </c>
      <c r="O50" s="244">
        <f>N50/N$12</f>
        <v>1.5313498508635396E-2</v>
      </c>
      <c r="P50" s="379">
        <v>81000</v>
      </c>
      <c r="Q50" s="244">
        <f>P50/P$12</f>
        <v>1.6662497613765773E-2</v>
      </c>
      <c r="R50" s="427">
        <v>81000</v>
      </c>
      <c r="S50" s="428">
        <f>R50/R$12</f>
        <v>1.5034163745058447E-2</v>
      </c>
      <c r="T50" s="379">
        <v>81000</v>
      </c>
      <c r="U50" s="505">
        <f>T50/T$12</f>
        <v>1.7968869931114895E-2</v>
      </c>
      <c r="V50" s="243">
        <v>86000</v>
      </c>
      <c r="W50" s="505">
        <f>V50/V$12</f>
        <v>1.6226415094339624E-2</v>
      </c>
      <c r="X50" s="427">
        <v>86000</v>
      </c>
      <c r="Y50" s="428">
        <f>X50/X$12</f>
        <v>1.6226415094339624E-2</v>
      </c>
      <c r="Z50" s="428">
        <f t="shared" si="48"/>
        <v>1.6226415094339624E-2</v>
      </c>
      <c r="AA50" s="379">
        <v>86000</v>
      </c>
      <c r="AB50" s="505">
        <f>AA50/AA$12</f>
        <v>1.5636363636363636E-2</v>
      </c>
      <c r="AC50" s="529">
        <f t="shared" si="2"/>
        <v>0</v>
      </c>
      <c r="AD50" s="427">
        <v>86000</v>
      </c>
      <c r="AE50" s="428">
        <f>AD50/AD$12</f>
        <v>1.4827586206896552E-2</v>
      </c>
      <c r="AF50" s="520">
        <f t="shared" si="3"/>
        <v>0</v>
      </c>
    </row>
    <row r="51" spans="1:32" ht="18" hidden="1" customHeight="1" x14ac:dyDescent="0.25">
      <c r="A51" s="304">
        <v>49</v>
      </c>
      <c r="B51" s="96" t="s">
        <v>18</v>
      </c>
      <c r="C51" s="76" t="s">
        <v>312</v>
      </c>
      <c r="D51" s="69">
        <v>-9400</v>
      </c>
      <c r="E51" s="56">
        <f>D51/D$12</f>
        <v>-1.7857027383508333E-3</v>
      </c>
      <c r="F51" s="201">
        <v>-9400</v>
      </c>
      <c r="G51" s="167">
        <f>F51/F$12</f>
        <v>-1.8387642408867226E-3</v>
      </c>
      <c r="H51" s="131">
        <v>-3000</v>
      </c>
      <c r="I51" s="56">
        <f>H51/H$12</f>
        <v>-5.4995406966928148E-4</v>
      </c>
      <c r="J51" s="166">
        <v>0</v>
      </c>
      <c r="K51" s="167">
        <f>J51/J$12</f>
        <v>0</v>
      </c>
      <c r="L51" s="331">
        <v>0</v>
      </c>
      <c r="M51" s="212">
        <f>L51/L$12</f>
        <v>0</v>
      </c>
      <c r="N51" s="246">
        <v>0</v>
      </c>
      <c r="O51" s="247">
        <f>N51/N$12</f>
        <v>0</v>
      </c>
      <c r="P51" s="381">
        <v>0</v>
      </c>
      <c r="Q51" s="247">
        <f>P51/P$12</f>
        <v>0</v>
      </c>
      <c r="R51" s="430">
        <v>0</v>
      </c>
      <c r="S51" s="431">
        <f>R51/R$12</f>
        <v>0</v>
      </c>
      <c r="T51" s="381">
        <v>0</v>
      </c>
      <c r="U51" s="506">
        <f>T51/T$12</f>
        <v>0</v>
      </c>
      <c r="V51" s="246">
        <v>0</v>
      </c>
      <c r="W51" s="506">
        <f>V51/V$12</f>
        <v>0</v>
      </c>
      <c r="X51" s="430">
        <v>0</v>
      </c>
      <c r="Y51" s="431">
        <f>X51/X$12</f>
        <v>0</v>
      </c>
      <c r="Z51" s="431">
        <f t="shared" si="48"/>
        <v>0</v>
      </c>
      <c r="AA51" s="381">
        <v>0</v>
      </c>
      <c r="AB51" s="506">
        <f>AA51/AA$12</f>
        <v>0</v>
      </c>
      <c r="AC51" s="530" t="e">
        <f t="shared" si="2"/>
        <v>#DIV/0!</v>
      </c>
      <c r="AD51" s="430">
        <v>0</v>
      </c>
      <c r="AE51" s="431">
        <f>AD51/AD$12</f>
        <v>0</v>
      </c>
      <c r="AF51" s="523" t="e">
        <f t="shared" si="3"/>
        <v>#DIV/0!</v>
      </c>
    </row>
    <row r="52" spans="1:32" s="2" customFormat="1" ht="18" customHeight="1" x14ac:dyDescent="0.25">
      <c r="A52" s="589">
        <v>45</v>
      </c>
      <c r="B52" s="590"/>
      <c r="C52" s="610" t="s">
        <v>213</v>
      </c>
      <c r="D52" s="611">
        <f>SUM(D49:D51)</f>
        <v>508100</v>
      </c>
      <c r="E52" s="612">
        <f>D52/D$12</f>
        <v>9.6522932059155145E-2</v>
      </c>
      <c r="F52" s="613">
        <f>SUM(F49:F51)</f>
        <v>508100</v>
      </c>
      <c r="G52" s="614">
        <f>F52/F$12</f>
        <v>9.9391075616440824E-2</v>
      </c>
      <c r="H52" s="616">
        <f>SUM(H49:H51)</f>
        <v>514500</v>
      </c>
      <c r="I52" s="612">
        <f>H52/H$12</f>
        <v>9.4317122948281776E-2</v>
      </c>
      <c r="J52" s="613">
        <f>SUM(J49:J51)</f>
        <v>513500</v>
      </c>
      <c r="K52" s="614">
        <f>J52/J$12</f>
        <v>9.1892175314164756E-2</v>
      </c>
      <c r="L52" s="613">
        <f>SUM(L49:L51)</f>
        <v>513500</v>
      </c>
      <c r="M52" s="614">
        <f>L52/L$12</f>
        <v>0.10007202847463335</v>
      </c>
      <c r="N52" s="617">
        <f>617500+86000</f>
        <v>703500</v>
      </c>
      <c r="O52" s="618">
        <f>N52/N$12</f>
        <v>0.13300057038055557</v>
      </c>
      <c r="P52" s="619">
        <f>457500+86000</f>
        <v>543500</v>
      </c>
      <c r="Q52" s="618">
        <f>P52/P$12</f>
        <v>0.11180330188989751</v>
      </c>
      <c r="R52" s="619">
        <f>457500+86000</f>
        <v>543500</v>
      </c>
      <c r="S52" s="618">
        <f>R52/R$12</f>
        <v>0.10087738265974402</v>
      </c>
      <c r="T52" s="619">
        <v>410375</v>
      </c>
      <c r="U52" s="618">
        <f>T52/T$12</f>
        <v>9.1036728370139194E-2</v>
      </c>
      <c r="V52" s="617">
        <f>432500+86000</f>
        <v>518500</v>
      </c>
      <c r="W52" s="618">
        <f>V52/V$12</f>
        <v>9.7830188679245284E-2</v>
      </c>
      <c r="X52" s="619">
        <f>432500+86000</f>
        <v>518500</v>
      </c>
      <c r="Y52" s="618">
        <f>X52/X$12</f>
        <v>9.7830188679245284E-2</v>
      </c>
      <c r="Z52" s="604">
        <f>ROUND((X52-V52)/V52,4)</f>
        <v>0</v>
      </c>
      <c r="AA52" s="619">
        <f>432500+86000</f>
        <v>518500</v>
      </c>
      <c r="AB52" s="618">
        <f>AA52/AA$12</f>
        <v>9.4272727272727272E-2</v>
      </c>
      <c r="AC52" s="600">
        <f t="shared" si="2"/>
        <v>0</v>
      </c>
      <c r="AD52" s="619">
        <f>432500+86000</f>
        <v>518500</v>
      </c>
      <c r="AE52" s="618">
        <f>AD52/AD$12</f>
        <v>8.9396551724137935E-2</v>
      </c>
      <c r="AF52" s="600">
        <f t="shared" si="3"/>
        <v>0</v>
      </c>
    </row>
    <row r="53" spans="1:32" ht="15" customHeight="1" x14ac:dyDescent="0.25">
      <c r="A53" s="304">
        <v>46</v>
      </c>
      <c r="B53" s="96"/>
      <c r="C53" s="73"/>
      <c r="D53" s="28"/>
      <c r="E53" s="31"/>
      <c r="F53" s="159" t="s">
        <v>198</v>
      </c>
      <c r="G53" s="169"/>
      <c r="H53" s="122"/>
      <c r="I53" s="31"/>
      <c r="J53" s="159"/>
      <c r="K53" s="169"/>
      <c r="L53" s="328"/>
      <c r="M53" s="214"/>
      <c r="N53" s="241"/>
      <c r="O53" s="249"/>
      <c r="P53" s="378"/>
      <c r="Q53" s="249"/>
      <c r="R53" s="425"/>
      <c r="S53" s="433"/>
      <c r="T53" s="378"/>
      <c r="U53" s="508"/>
      <c r="V53" s="241"/>
      <c r="W53" s="508"/>
      <c r="X53" s="425"/>
      <c r="Y53" s="433"/>
      <c r="Z53" s="433"/>
      <c r="AA53" s="378"/>
      <c r="AB53" s="508"/>
      <c r="AC53" s="534"/>
      <c r="AD53" s="425"/>
      <c r="AE53" s="433"/>
      <c r="AF53" s="527"/>
    </row>
    <row r="54" spans="1:32" ht="18" customHeight="1" x14ac:dyDescent="0.25">
      <c r="A54" s="620">
        <v>47</v>
      </c>
      <c r="B54" s="590"/>
      <c r="C54" s="621" t="s">
        <v>309</v>
      </c>
      <c r="D54" s="622">
        <v>492000</v>
      </c>
      <c r="E54" s="623">
        <f>D54/D$12</f>
        <v>9.3464441198788301E-2</v>
      </c>
      <c r="F54" s="624">
        <v>535000</v>
      </c>
      <c r="G54" s="625">
        <f>F54/F$12</f>
        <v>0.1046530711568507</v>
      </c>
      <c r="H54" s="626">
        <v>475000</v>
      </c>
      <c r="I54" s="623">
        <f>H54/H$12</f>
        <v>8.707606103096957E-2</v>
      </c>
      <c r="J54" s="624">
        <v>475000</v>
      </c>
      <c r="K54" s="625">
        <f>J54/J$12</f>
        <v>8.5002499073472765E-2</v>
      </c>
      <c r="L54" s="624">
        <v>475000</v>
      </c>
      <c r="M54" s="625">
        <f>L54/L$12</f>
        <v>9.2569062366992874E-2</v>
      </c>
      <c r="N54" s="627">
        <v>558000</v>
      </c>
      <c r="O54" s="628">
        <f>N54/N$12</f>
        <v>0.10549298972615495</v>
      </c>
      <c r="P54" s="629">
        <v>640000</v>
      </c>
      <c r="Q54" s="628">
        <f>P54/P$12</f>
        <v>0.13165430213345797</v>
      </c>
      <c r="R54" s="629">
        <v>675000</v>
      </c>
      <c r="S54" s="628">
        <f>R54/R$12</f>
        <v>0.12528469787548704</v>
      </c>
      <c r="T54" s="629">
        <v>506250</v>
      </c>
      <c r="U54" s="628">
        <f>T54/T$12</f>
        <v>0.11230543706946809</v>
      </c>
      <c r="V54" s="627">
        <v>675000</v>
      </c>
      <c r="W54" s="628">
        <f>V54/V$12</f>
        <v>0.12735849056603774</v>
      </c>
      <c r="X54" s="629">
        <v>645000</v>
      </c>
      <c r="Y54" s="628">
        <f>X54/X$12</f>
        <v>0.12169811320754717</v>
      </c>
      <c r="Z54" s="630">
        <f t="shared" ref="Z54:Z55" si="49">ROUND((X54-V54)/V54,4)</f>
        <v>-4.4400000000000002E-2</v>
      </c>
      <c r="AA54" s="629">
        <v>652000</v>
      </c>
      <c r="AB54" s="628">
        <f>AA54/AA$12</f>
        <v>0.11854545454545455</v>
      </c>
      <c r="AC54" s="630">
        <f t="shared" si="2"/>
        <v>1.09E-2</v>
      </c>
      <c r="AD54" s="629">
        <v>677000</v>
      </c>
      <c r="AE54" s="628">
        <f>AD54/AD$12</f>
        <v>0.11672413793103448</v>
      </c>
      <c r="AF54" s="630">
        <f t="shared" si="3"/>
        <v>3.8300000000000001E-2</v>
      </c>
    </row>
    <row r="55" spans="1:32" ht="18" customHeight="1" x14ac:dyDescent="0.25">
      <c r="A55" s="631">
        <v>48</v>
      </c>
      <c r="B55" s="590"/>
      <c r="C55" s="632" t="s">
        <v>293</v>
      </c>
      <c r="D55" s="633">
        <v>0</v>
      </c>
      <c r="E55" s="634">
        <f>D55/D$12</f>
        <v>0</v>
      </c>
      <c r="F55" s="635">
        <v>0</v>
      </c>
      <c r="G55" s="636">
        <f>F55/F$12</f>
        <v>0</v>
      </c>
      <c r="H55" s="637">
        <v>0</v>
      </c>
      <c r="I55" s="634">
        <f>H55/H$12</f>
        <v>0</v>
      </c>
      <c r="J55" s="635">
        <v>0</v>
      </c>
      <c r="K55" s="636">
        <f>J55/J$12</f>
        <v>0</v>
      </c>
      <c r="L55" s="635">
        <v>50000</v>
      </c>
      <c r="M55" s="636">
        <f>L55/L$12</f>
        <v>9.7441118281045135E-3</v>
      </c>
      <c r="N55" s="638">
        <v>130500</v>
      </c>
      <c r="O55" s="639">
        <f>N55/N$12</f>
        <v>2.4671747597245913E-2</v>
      </c>
      <c r="P55" s="640">
        <v>475000</v>
      </c>
      <c r="Q55" s="639">
        <f>P55/P$12</f>
        <v>9.7712177364675828E-2</v>
      </c>
      <c r="R55" s="640">
        <v>0</v>
      </c>
      <c r="S55" s="639">
        <f>R55/R$12</f>
        <v>0</v>
      </c>
      <c r="T55" s="640">
        <v>0</v>
      </c>
      <c r="U55" s="639">
        <f>T55/T$12</f>
        <v>0</v>
      </c>
      <c r="V55" s="638">
        <v>0</v>
      </c>
      <c r="W55" s="639">
        <f>V55/V$12</f>
        <v>0</v>
      </c>
      <c r="X55" s="640">
        <v>100000</v>
      </c>
      <c r="Y55" s="639">
        <f>X55/X$12</f>
        <v>1.8867924528301886E-2</v>
      </c>
      <c r="Z55" s="641" t="e">
        <f t="shared" si="49"/>
        <v>#DIV/0!</v>
      </c>
      <c r="AA55" s="640">
        <v>0</v>
      </c>
      <c r="AB55" s="639">
        <f>AA55/AA$12</f>
        <v>0</v>
      </c>
      <c r="AC55" s="642">
        <f t="shared" si="2"/>
        <v>-1</v>
      </c>
      <c r="AD55" s="640">
        <v>0</v>
      </c>
      <c r="AE55" s="639">
        <f>AD55/AD$12</f>
        <v>0</v>
      </c>
      <c r="AF55" s="642" t="e">
        <f t="shared" si="3"/>
        <v>#DIV/0!</v>
      </c>
    </row>
    <row r="56" spans="1:32" s="2" customFormat="1" ht="18" customHeight="1" x14ac:dyDescent="0.25">
      <c r="A56" s="303">
        <v>49</v>
      </c>
      <c r="B56" s="96"/>
      <c r="C56" s="79" t="s">
        <v>310</v>
      </c>
      <c r="D56" s="34">
        <f>SUM(D54:D55)</f>
        <v>492000</v>
      </c>
      <c r="E56" s="36">
        <f>D56/D$12</f>
        <v>9.3464441198788301E-2</v>
      </c>
      <c r="F56" s="175">
        <f>SUM(F54:F55)</f>
        <v>535000</v>
      </c>
      <c r="G56" s="176">
        <f>F56/F$12</f>
        <v>0.1046530711568507</v>
      </c>
      <c r="H56" s="127">
        <f>SUM(H54:H55)</f>
        <v>475000</v>
      </c>
      <c r="I56" s="36">
        <f>H56/H$12</f>
        <v>8.707606103096957E-2</v>
      </c>
      <c r="J56" s="170">
        <f>SUM(J54:J55)</f>
        <v>475000</v>
      </c>
      <c r="K56" s="176">
        <f>J56/J$12</f>
        <v>8.5002499073472765E-2</v>
      </c>
      <c r="L56" s="332">
        <f>SUM(L54:L55)</f>
        <v>525000</v>
      </c>
      <c r="M56" s="216">
        <f>L56/L$12</f>
        <v>0.10231317419509739</v>
      </c>
      <c r="N56" s="250">
        <f>SUM(N54:N55)</f>
        <v>688500</v>
      </c>
      <c r="O56" s="257">
        <f>N56/N$12</f>
        <v>0.13016473732340086</v>
      </c>
      <c r="P56" s="382">
        <f>SUM(P54:P55)</f>
        <v>1115000</v>
      </c>
      <c r="Q56" s="257">
        <f>P56/P$12</f>
        <v>0.2293664794981338</v>
      </c>
      <c r="R56" s="434">
        <f>SUM(R54:R55)</f>
        <v>675000</v>
      </c>
      <c r="S56" s="441">
        <f>R56/R$12</f>
        <v>0.12528469787548704</v>
      </c>
      <c r="T56" s="382">
        <f>SUM(T54:T55)</f>
        <v>506250</v>
      </c>
      <c r="U56" s="511">
        <f>T56/T$12</f>
        <v>0.11230543706946809</v>
      </c>
      <c r="V56" s="250">
        <f>SUM(V54:V55)</f>
        <v>675000</v>
      </c>
      <c r="W56" s="511">
        <f>V56/V$12</f>
        <v>0.12735849056603774</v>
      </c>
      <c r="X56" s="434">
        <f>SUM(X54:X55)</f>
        <v>745000</v>
      </c>
      <c r="Y56" s="441">
        <f>X56/X$12</f>
        <v>0.14056603773584905</v>
      </c>
      <c r="Z56" s="518">
        <f>ROUND((X56-V56)/V56,4)</f>
        <v>0.1037</v>
      </c>
      <c r="AA56" s="382">
        <f>SUM(AA54:AA55)</f>
        <v>652000</v>
      </c>
      <c r="AB56" s="511">
        <f>AA56/AA$12</f>
        <v>0.11854545454545455</v>
      </c>
      <c r="AC56" s="531">
        <f t="shared" si="2"/>
        <v>-0.12479999999999999</v>
      </c>
      <c r="AD56" s="434">
        <f>SUM(AD54:AD55)</f>
        <v>677000</v>
      </c>
      <c r="AE56" s="441">
        <f>AD56/AD$12</f>
        <v>0.11672413793103448</v>
      </c>
      <c r="AF56" s="526">
        <f t="shared" si="3"/>
        <v>3.8300000000000001E-2</v>
      </c>
    </row>
    <row r="57" spans="1:32" ht="15" customHeight="1" x14ac:dyDescent="0.25">
      <c r="A57" s="304">
        <v>50</v>
      </c>
      <c r="B57" s="96"/>
      <c r="C57" s="78"/>
      <c r="D57" s="35"/>
      <c r="E57" s="29"/>
      <c r="F57" s="171"/>
      <c r="G57" s="160"/>
      <c r="H57" s="128"/>
      <c r="I57" s="29"/>
      <c r="J57" s="171"/>
      <c r="K57" s="160"/>
      <c r="L57" s="333"/>
      <c r="M57" s="209"/>
      <c r="N57" s="251"/>
      <c r="O57" s="242"/>
      <c r="P57" s="383"/>
      <c r="Q57" s="242"/>
      <c r="R57" s="435"/>
      <c r="S57" s="426"/>
      <c r="T57" s="383"/>
      <c r="U57" s="504"/>
      <c r="V57" s="251"/>
      <c r="W57" s="504"/>
      <c r="X57" s="435"/>
      <c r="Y57" s="426"/>
      <c r="Z57" s="426"/>
      <c r="AA57" s="383"/>
      <c r="AB57" s="504"/>
      <c r="AC57" s="534"/>
      <c r="AD57" s="435"/>
      <c r="AE57" s="426"/>
      <c r="AF57" s="527"/>
    </row>
    <row r="58" spans="1:32" s="2" customFormat="1" ht="18" customHeight="1" thickBot="1" x14ac:dyDescent="0.3">
      <c r="A58" s="643">
        <v>51</v>
      </c>
      <c r="B58" s="590"/>
      <c r="C58" s="644" t="s">
        <v>385</v>
      </c>
      <c r="D58" s="645">
        <f>D47+D52+D56</f>
        <v>-60012.350000000093</v>
      </c>
      <c r="E58" s="646">
        <f>D58/D$12</f>
        <v>-1.1400448694666894E-2</v>
      </c>
      <c r="F58" s="647">
        <f>F47+F52+F56</f>
        <v>-102283</v>
      </c>
      <c r="G58" s="648">
        <f>F58/F$12</f>
        <v>-2.0007906686235814E-2</v>
      </c>
      <c r="H58" s="649">
        <f>H47+H52+H56</f>
        <v>-148900</v>
      </c>
      <c r="I58" s="646">
        <f>H58/H$12</f>
        <v>-2.7296053657918668E-2</v>
      </c>
      <c r="J58" s="647">
        <f>J47+J52+J56</f>
        <v>-292378</v>
      </c>
      <c r="K58" s="648">
        <f>J58/J$12</f>
        <v>-5.2321811945481723E-2</v>
      </c>
      <c r="L58" s="647">
        <f>L47+L52+L56</f>
        <v>-507928</v>
      </c>
      <c r="M58" s="648">
        <f>L58/L$12</f>
        <v>-9.8986144652509378E-2</v>
      </c>
      <c r="N58" s="650">
        <f>N47+N52+N56</f>
        <v>-143894</v>
      </c>
      <c r="O58" s="651">
        <f>N58/N$12</f>
        <v>-2.7203957461747922E-2</v>
      </c>
      <c r="P58" s="652">
        <f>P47+P52+P56</f>
        <v>1265</v>
      </c>
      <c r="Q58" s="651">
        <f>P58/P$12</f>
        <v>2.6022295656066298E-4</v>
      </c>
      <c r="R58" s="652">
        <f>R47+R52+R56</f>
        <v>47470</v>
      </c>
      <c r="S58" s="651">
        <f>R58/R$12</f>
        <v>8.8107623824435124E-3</v>
      </c>
      <c r="T58" s="652">
        <f>T47+T52+T56</f>
        <v>371487</v>
      </c>
      <c r="U58" s="651">
        <f>T58/T$12</f>
        <v>8.2409896100000976E-2</v>
      </c>
      <c r="V58" s="650">
        <f>V47+V52+V56</f>
        <v>1857</v>
      </c>
      <c r="W58" s="651">
        <f>V58/V$12</f>
        <v>3.5037735849056603E-4</v>
      </c>
      <c r="X58" s="652">
        <f>X47+X52+X56</f>
        <v>2575</v>
      </c>
      <c r="Y58" s="651">
        <f>X58/X$12</f>
        <v>4.8584905660377359E-4</v>
      </c>
      <c r="Z58" s="653">
        <f t="shared" ref="Z58" si="50">ROUND((X58-V58)/V58,4)</f>
        <v>0.3866</v>
      </c>
      <c r="AA58" s="652">
        <f>AA47+AA52+AA56</f>
        <v>26640</v>
      </c>
      <c r="AB58" s="651">
        <f>AA58/AA$12</f>
        <v>4.8436363636363633E-3</v>
      </c>
      <c r="AC58" s="653">
        <f t="shared" si="2"/>
        <v>9.3455999999999992</v>
      </c>
      <c r="AD58" s="652">
        <f>AD47+AD52+AD56</f>
        <v>153595</v>
      </c>
      <c r="AE58" s="651">
        <f>AD58/AD$12</f>
        <v>2.6481896551724136E-2</v>
      </c>
      <c r="AF58" s="653">
        <f t="shared" si="3"/>
        <v>4.7656000000000001</v>
      </c>
    </row>
    <row r="59" spans="1:32" s="2" customFormat="1" ht="15" hidden="1" customHeight="1" thickTop="1" x14ac:dyDescent="0.25">
      <c r="A59" s="304"/>
      <c r="B59" s="100"/>
      <c r="C59" s="78"/>
      <c r="D59" s="289"/>
      <c r="E59" s="29"/>
      <c r="F59" s="290"/>
      <c r="G59" s="160"/>
      <c r="H59" s="217"/>
      <c r="I59" s="29"/>
      <c r="J59" s="290"/>
      <c r="K59" s="160"/>
      <c r="L59" s="337"/>
      <c r="M59" s="209"/>
      <c r="N59" s="260"/>
      <c r="O59" s="242"/>
      <c r="P59" s="389"/>
      <c r="Q59" s="242"/>
      <c r="R59" s="444"/>
      <c r="S59" s="426"/>
      <c r="T59" s="389"/>
      <c r="U59" s="504"/>
      <c r="V59" s="260"/>
      <c r="W59" s="504"/>
      <c r="X59" s="444"/>
      <c r="Y59" s="426"/>
      <c r="Z59" s="426"/>
      <c r="AA59" s="389"/>
      <c r="AB59" s="504"/>
      <c r="AC59" s="532" t="e">
        <f t="shared" si="2"/>
        <v>#DIV/0!</v>
      </c>
      <c r="AD59" s="444"/>
      <c r="AE59" s="426"/>
      <c r="AF59" s="528" t="e">
        <f t="shared" si="3"/>
        <v>#DIV/0!</v>
      </c>
    </row>
    <row r="60" spans="1:32" s="2" customFormat="1" ht="16.5" hidden="1" thickTop="1" x14ac:dyDescent="0.25">
      <c r="A60" s="303">
        <v>52</v>
      </c>
      <c r="B60" s="100"/>
      <c r="C60" s="291" t="s">
        <v>386</v>
      </c>
      <c r="D60" s="292"/>
      <c r="E60" s="293"/>
      <c r="F60" s="294"/>
      <c r="G60" s="295"/>
      <c r="H60" s="292"/>
      <c r="I60" s="316"/>
      <c r="J60" s="294"/>
      <c r="K60" s="295"/>
      <c r="L60" s="292"/>
      <c r="M60" s="293"/>
      <c r="N60" s="363">
        <v>1442505</v>
      </c>
      <c r="O60" s="257"/>
      <c r="P60" s="390">
        <v>-3403372</v>
      </c>
      <c r="Q60" s="391"/>
      <c r="R60" s="490">
        <v>-3403372</v>
      </c>
      <c r="S60" s="476"/>
      <c r="T60" s="390">
        <v>-3403372</v>
      </c>
      <c r="U60" s="391"/>
      <c r="V60" s="535"/>
      <c r="W60" s="511"/>
      <c r="X60" s="472"/>
      <c r="Y60" s="441"/>
      <c r="Z60" s="441"/>
      <c r="AA60" s="486"/>
      <c r="AB60" s="511"/>
      <c r="AC60" s="529" t="e">
        <f t="shared" si="2"/>
        <v>#DIV/0!</v>
      </c>
      <c r="AD60" s="472"/>
      <c r="AE60" s="441"/>
      <c r="AF60" s="520" t="e">
        <f t="shared" si="3"/>
        <v>#DIV/0!</v>
      </c>
    </row>
    <row r="61" spans="1:32" s="2" customFormat="1" ht="16.5" hidden="1" thickTop="1" x14ac:dyDescent="0.25">
      <c r="A61" s="303">
        <v>53</v>
      </c>
      <c r="B61" s="100"/>
      <c r="C61" s="291" t="s">
        <v>389</v>
      </c>
      <c r="D61" s="292"/>
      <c r="E61" s="293"/>
      <c r="F61" s="294"/>
      <c r="G61" s="295"/>
      <c r="H61" s="292"/>
      <c r="I61" s="316"/>
      <c r="J61" s="294"/>
      <c r="K61" s="295"/>
      <c r="L61" s="292"/>
      <c r="M61" s="293"/>
      <c r="N61" s="363">
        <v>199196</v>
      </c>
      <c r="O61" s="257"/>
      <c r="P61" s="390">
        <f>325206+521536+51044</f>
        <v>897786</v>
      </c>
      <c r="Q61" s="391"/>
      <c r="R61" s="490">
        <f>325206+521536+51044</f>
        <v>897786</v>
      </c>
      <c r="S61" s="476"/>
      <c r="T61" s="390">
        <f>325206+521536+51044</f>
        <v>897786</v>
      </c>
      <c r="U61" s="391"/>
      <c r="V61" s="535"/>
      <c r="W61" s="511"/>
      <c r="X61" s="472"/>
      <c r="Y61" s="441"/>
      <c r="Z61" s="441"/>
      <c r="AA61" s="486"/>
      <c r="AB61" s="511"/>
      <c r="AC61" s="529" t="e">
        <f t="shared" si="2"/>
        <v>#DIV/0!</v>
      </c>
      <c r="AD61" s="472"/>
      <c r="AE61" s="441"/>
      <c r="AF61" s="520" t="e">
        <f t="shared" si="3"/>
        <v>#DIV/0!</v>
      </c>
    </row>
    <row r="62" spans="1:32" s="2" customFormat="1" ht="16.5" hidden="1" thickTop="1" x14ac:dyDescent="0.25">
      <c r="A62" s="303">
        <v>54</v>
      </c>
      <c r="B62" s="100"/>
      <c r="C62" s="291" t="s">
        <v>387</v>
      </c>
      <c r="D62" s="292"/>
      <c r="E62" s="293"/>
      <c r="F62" s="294"/>
      <c r="G62" s="295"/>
      <c r="H62" s="292"/>
      <c r="I62" s="316"/>
      <c r="J62" s="294"/>
      <c r="K62" s="295"/>
      <c r="L62" s="292"/>
      <c r="M62" s="293"/>
      <c r="N62" s="363">
        <v>-124209</v>
      </c>
      <c r="O62" s="257"/>
      <c r="P62" s="390">
        <v>-107114</v>
      </c>
      <c r="Q62" s="391"/>
      <c r="R62" s="490">
        <v>-107114</v>
      </c>
      <c r="S62" s="476"/>
      <c r="T62" s="390">
        <v>-107114</v>
      </c>
      <c r="U62" s="391"/>
      <c r="V62" s="535"/>
      <c r="W62" s="511"/>
      <c r="X62" s="472"/>
      <c r="Y62" s="441"/>
      <c r="Z62" s="441"/>
      <c r="AA62" s="486"/>
      <c r="AB62" s="511"/>
      <c r="AC62" s="529" t="e">
        <f t="shared" si="2"/>
        <v>#DIV/0!</v>
      </c>
      <c r="AD62" s="472"/>
      <c r="AE62" s="441"/>
      <c r="AF62" s="520" t="e">
        <f t="shared" si="3"/>
        <v>#DIV/0!</v>
      </c>
    </row>
    <row r="63" spans="1:32" s="2" customFormat="1" ht="15.75" hidden="1" customHeight="1" thickBot="1" x14ac:dyDescent="0.3">
      <c r="A63" s="305">
        <v>55</v>
      </c>
      <c r="B63" s="100"/>
      <c r="C63" s="296" t="s">
        <v>388</v>
      </c>
      <c r="D63" s="297"/>
      <c r="E63" s="298"/>
      <c r="F63" s="299"/>
      <c r="G63" s="300"/>
      <c r="H63" s="297"/>
      <c r="I63" s="317"/>
      <c r="J63" s="299"/>
      <c r="K63" s="300"/>
      <c r="L63" s="297"/>
      <c r="M63" s="298"/>
      <c r="N63" s="364">
        <f>SUM(N58:N62)</f>
        <v>1373598</v>
      </c>
      <c r="O63" s="259"/>
      <c r="P63" s="392">
        <f>SUM(P58:P62)</f>
        <v>-2611435</v>
      </c>
      <c r="Q63" s="393"/>
      <c r="R63" s="477">
        <f>SUM(R58:R62)</f>
        <v>-2565230</v>
      </c>
      <c r="S63" s="478"/>
      <c r="T63" s="392">
        <f>SUM(T58:T62)</f>
        <v>-2241213</v>
      </c>
      <c r="U63" s="393"/>
      <c r="V63" s="258"/>
      <c r="W63" s="512"/>
      <c r="X63" s="442"/>
      <c r="Y63" s="443"/>
      <c r="Z63" s="443"/>
      <c r="AA63" s="388"/>
      <c r="AB63" s="512"/>
      <c r="AC63" s="529" t="e">
        <f t="shared" si="2"/>
        <v>#DIV/0!</v>
      </c>
      <c r="AD63" s="442"/>
      <c r="AE63" s="443"/>
      <c r="AF63" s="520" t="e">
        <f t="shared" si="3"/>
        <v>#DIV/0!</v>
      </c>
    </row>
    <row r="64" spans="1:32" ht="18" customHeight="1" thickTop="1" x14ac:dyDescent="0.25">
      <c r="A64" s="93"/>
      <c r="B64" s="91"/>
      <c r="C64" s="78"/>
      <c r="D64" s="35"/>
      <c r="E64" s="29"/>
      <c r="F64" s="171"/>
      <c r="G64" s="160"/>
      <c r="H64" s="128"/>
      <c r="I64" s="29"/>
      <c r="J64" s="290"/>
      <c r="K64" s="160"/>
      <c r="L64" s="337"/>
      <c r="M64" s="209"/>
      <c r="N64" s="260"/>
      <c r="O64" s="242"/>
      <c r="P64" s="389"/>
      <c r="Q64" s="242"/>
      <c r="R64" s="444"/>
      <c r="S64" s="426"/>
      <c r="T64" s="389"/>
      <c r="U64" s="504"/>
      <c r="V64" s="260"/>
      <c r="W64" s="504"/>
      <c r="X64" s="444"/>
      <c r="Y64" s="426"/>
      <c r="Z64" s="426"/>
      <c r="AA64" s="389"/>
      <c r="AB64" s="504"/>
      <c r="AC64" s="530"/>
      <c r="AD64" s="444"/>
      <c r="AE64" s="426"/>
      <c r="AF64" s="523"/>
    </row>
    <row r="65" spans="1:32" ht="18" hidden="1" customHeight="1" x14ac:dyDescent="0.25">
      <c r="A65" s="97"/>
      <c r="B65" s="98"/>
      <c r="C65" s="73" t="s">
        <v>227</v>
      </c>
      <c r="D65" s="28"/>
      <c r="E65" s="29"/>
      <c r="F65" s="159"/>
      <c r="G65" s="160"/>
      <c r="H65" s="122"/>
      <c r="I65" s="29"/>
      <c r="J65" s="159"/>
      <c r="K65" s="160"/>
      <c r="L65" s="328"/>
      <c r="M65" s="209"/>
      <c r="N65" s="241"/>
      <c r="O65" s="242"/>
      <c r="P65" s="378"/>
      <c r="Q65" s="242"/>
      <c r="R65" s="425"/>
      <c r="S65" s="426"/>
      <c r="T65" s="378"/>
      <c r="U65" s="504"/>
      <c r="V65" s="241"/>
      <c r="W65" s="504"/>
      <c r="X65" s="425"/>
      <c r="Y65" s="426"/>
      <c r="Z65" s="426"/>
      <c r="AA65" s="378"/>
      <c r="AB65" s="504"/>
      <c r="AC65" s="532"/>
      <c r="AD65" s="425"/>
      <c r="AE65" s="426"/>
      <c r="AF65" s="528"/>
    </row>
    <row r="66" spans="1:32" s="3" customFormat="1" ht="18" hidden="1" customHeight="1" x14ac:dyDescent="0.25">
      <c r="A66" s="99"/>
      <c r="B66" s="100"/>
      <c r="C66" s="105" t="s">
        <v>214</v>
      </c>
      <c r="D66" s="106">
        <v>6</v>
      </c>
      <c r="E66" s="107"/>
      <c r="F66" s="177">
        <v>7</v>
      </c>
      <c r="G66" s="178"/>
      <c r="H66" s="132">
        <v>7</v>
      </c>
      <c r="I66" s="107"/>
      <c r="J66" s="177">
        <v>7</v>
      </c>
      <c r="K66" s="178"/>
      <c r="L66" s="338">
        <v>7.8</v>
      </c>
      <c r="M66" s="218"/>
      <c r="N66" s="261">
        <v>8.8000000000000007</v>
      </c>
      <c r="O66" s="262"/>
      <c r="P66" s="394">
        <v>8.8000000000000007</v>
      </c>
      <c r="Q66" s="262"/>
      <c r="R66" s="445">
        <v>9</v>
      </c>
      <c r="S66" s="446"/>
      <c r="T66" s="394">
        <v>8</v>
      </c>
      <c r="U66" s="513"/>
      <c r="V66" s="536">
        <v>8</v>
      </c>
      <c r="W66" s="513"/>
      <c r="X66" s="475">
        <v>8</v>
      </c>
      <c r="Y66" s="446"/>
      <c r="Z66" s="446"/>
      <c r="AA66" s="487">
        <v>8</v>
      </c>
      <c r="AB66" s="513"/>
      <c r="AC66" s="529"/>
      <c r="AD66" s="475">
        <v>8</v>
      </c>
      <c r="AE66" s="446"/>
      <c r="AF66" s="520"/>
    </row>
    <row r="67" spans="1:32" ht="18" hidden="1" customHeight="1" x14ac:dyDescent="0.25">
      <c r="A67" s="101">
        <v>1</v>
      </c>
      <c r="B67" s="102" t="s">
        <v>58</v>
      </c>
      <c r="C67" s="74" t="s">
        <v>215</v>
      </c>
      <c r="D67" s="51">
        <f>347551+825</f>
        <v>348376</v>
      </c>
      <c r="E67" s="52">
        <f t="shared" ref="E67:E81" si="51">D67/D$12</f>
        <v>6.618042310379893E-2</v>
      </c>
      <c r="F67" s="161">
        <v>373987</v>
      </c>
      <c r="G67" s="162">
        <f t="shared" ref="G67:G81" si="52">F67/F$12</f>
        <v>7.3156800229415175E-2</v>
      </c>
      <c r="H67" s="123">
        <f>386895+18253</f>
        <v>405148</v>
      </c>
      <c r="I67" s="52">
        <f t="shared" ref="I67:I81" si="53">H67/H$12</f>
        <v>7.4270930472790014E-2</v>
      </c>
      <c r="J67" s="161">
        <f>406285+20991</f>
        <v>427276</v>
      </c>
      <c r="K67" s="162">
        <f t="shared" ref="K67:K81" si="54">J67/J$12</f>
        <v>7.6462163777088726E-2</v>
      </c>
      <c r="L67" s="336">
        <f>442536+20366</f>
        <v>462902</v>
      </c>
      <c r="M67" s="210">
        <f t="shared" ref="M67:M81" si="55">L67/L$12</f>
        <v>9.0211377069064708E-2</v>
      </c>
      <c r="N67" s="255">
        <v>502045</v>
      </c>
      <c r="O67" s="256">
        <f t="shared" ref="O67:O81" si="56">N67/N$12</f>
        <v>9.4914387145282192E-2</v>
      </c>
      <c r="P67" s="387">
        <v>523417</v>
      </c>
      <c r="Q67" s="256">
        <f t="shared" ref="Q67:Q81" si="57">P67/P$12</f>
        <v>0.10767203103091902</v>
      </c>
      <c r="R67" s="439">
        <v>498894</v>
      </c>
      <c r="S67" s="440">
        <f t="shared" ref="S67:S81" si="58">R67/R$12</f>
        <v>9.2598198610212207E-2</v>
      </c>
      <c r="T67" s="557">
        <v>312035</v>
      </c>
      <c r="U67" s="510">
        <f t="shared" ref="U67:U81" si="59">T67/T$12</f>
        <v>6.9221189246363418E-2</v>
      </c>
      <c r="V67" s="255">
        <v>438185</v>
      </c>
      <c r="W67" s="510">
        <f t="shared" ref="W67:W81" si="60">V67/V$12</f>
        <v>8.2676415094339623E-2</v>
      </c>
      <c r="X67" s="439">
        <v>511135</v>
      </c>
      <c r="Y67" s="440">
        <f t="shared" ref="Y67:Y81" si="61">X67/X$12</f>
        <v>9.6440566037735848E-2</v>
      </c>
      <c r="Z67" s="519">
        <f t="shared" ref="Z67:Z81" si="62">ROUND((X67-V67)/V67,4)</f>
        <v>0.16650000000000001</v>
      </c>
      <c r="AA67" s="387">
        <v>520270</v>
      </c>
      <c r="AB67" s="510">
        <f t="shared" ref="AB67:AB81" si="63">AA67/AA$12</f>
        <v>9.4594545454545459E-2</v>
      </c>
      <c r="AC67" s="529">
        <f t="shared" si="2"/>
        <v>1.7899999999999999E-2</v>
      </c>
      <c r="AD67" s="439">
        <v>534970</v>
      </c>
      <c r="AE67" s="440">
        <f t="shared" ref="AE67:AE81" si="64">AD67/AD$12</f>
        <v>9.2236206896551723E-2</v>
      </c>
      <c r="AF67" s="520">
        <f t="shared" si="3"/>
        <v>2.8299999999999999E-2</v>
      </c>
    </row>
    <row r="68" spans="1:32" ht="18" hidden="1" customHeight="1" x14ac:dyDescent="0.25">
      <c r="A68" s="101">
        <v>2</v>
      </c>
      <c r="B68" s="104" t="s">
        <v>59</v>
      </c>
      <c r="C68" s="75" t="s">
        <v>228</v>
      </c>
      <c r="D68" s="53">
        <v>16887.13</v>
      </c>
      <c r="E68" s="54">
        <f t="shared" si="51"/>
        <v>3.2080206684985649E-3</v>
      </c>
      <c r="F68" s="165">
        <v>15659</v>
      </c>
      <c r="G68" s="164">
        <f t="shared" si="52"/>
        <v>3.0631073668133178E-3</v>
      </c>
      <c r="H68" s="125">
        <v>26157</v>
      </c>
      <c r="I68" s="54">
        <f t="shared" si="53"/>
        <v>4.795049533446465E-3</v>
      </c>
      <c r="J68" s="165">
        <v>20788</v>
      </c>
      <c r="K68" s="164">
        <f t="shared" si="54"/>
        <v>3.7200672647144245E-3</v>
      </c>
      <c r="L68" s="329">
        <v>20943</v>
      </c>
      <c r="M68" s="211">
        <f t="shared" si="55"/>
        <v>4.0814186803198567E-3</v>
      </c>
      <c r="N68" s="243">
        <v>21041</v>
      </c>
      <c r="O68" s="244">
        <f t="shared" si="56"/>
        <v>3.9779175570394737E-3</v>
      </c>
      <c r="P68" s="379">
        <v>17402</v>
      </c>
      <c r="Q68" s="244">
        <f t="shared" si="57"/>
        <v>3.5797627589475556E-3</v>
      </c>
      <c r="R68" s="427">
        <v>12621</v>
      </c>
      <c r="S68" s="428">
        <f t="shared" si="58"/>
        <v>2.3425454398318846E-3</v>
      </c>
      <c r="T68" s="555">
        <v>17455</v>
      </c>
      <c r="U68" s="505">
        <f t="shared" si="59"/>
        <v>3.8721805512050679E-3</v>
      </c>
      <c r="V68" s="243">
        <v>17455</v>
      </c>
      <c r="W68" s="505">
        <f t="shared" si="60"/>
        <v>3.2933962264150942E-3</v>
      </c>
      <c r="X68" s="427">
        <f>16400+450</f>
        <v>16850</v>
      </c>
      <c r="Y68" s="428">
        <f t="shared" si="61"/>
        <v>3.1792452830188681E-3</v>
      </c>
      <c r="Z68" s="520">
        <f t="shared" si="62"/>
        <v>-3.4700000000000002E-2</v>
      </c>
      <c r="AA68" s="379">
        <f>15400+450</f>
        <v>15850</v>
      </c>
      <c r="AB68" s="505">
        <f t="shared" si="63"/>
        <v>2.881818181818182E-3</v>
      </c>
      <c r="AC68" s="529">
        <f t="shared" si="2"/>
        <v>-5.9299999999999999E-2</v>
      </c>
      <c r="AD68" s="427">
        <f>15400+450</f>
        <v>15850</v>
      </c>
      <c r="AE68" s="428">
        <f t="shared" si="64"/>
        <v>2.7327586206896551E-3</v>
      </c>
      <c r="AF68" s="520">
        <f t="shared" si="3"/>
        <v>0</v>
      </c>
    </row>
    <row r="69" spans="1:32" ht="18" hidden="1" customHeight="1" x14ac:dyDescent="0.25">
      <c r="A69" s="101">
        <v>3</v>
      </c>
      <c r="B69" s="104" t="s">
        <v>60</v>
      </c>
      <c r="C69" s="75" t="s">
        <v>47</v>
      </c>
      <c r="D69" s="53">
        <v>9971</v>
      </c>
      <c r="E69" s="54">
        <f t="shared" si="51"/>
        <v>1.8941746812868253E-3</v>
      </c>
      <c r="F69" s="165">
        <v>4525</v>
      </c>
      <c r="G69" s="164">
        <f t="shared" si="52"/>
        <v>8.8514980744812974E-4</v>
      </c>
      <c r="H69" s="125">
        <v>8750</v>
      </c>
      <c r="I69" s="54">
        <f t="shared" si="53"/>
        <v>1.6040327032020708E-3</v>
      </c>
      <c r="J69" s="165">
        <v>6350</v>
      </c>
      <c r="K69" s="164">
        <f t="shared" si="54"/>
        <v>1.1363491981401096E-3</v>
      </c>
      <c r="L69" s="329">
        <v>5757</v>
      </c>
      <c r="M69" s="211">
        <f t="shared" si="55"/>
        <v>1.1219370358879536E-3</v>
      </c>
      <c r="N69" s="243">
        <v>3875</v>
      </c>
      <c r="O69" s="244">
        <f t="shared" si="56"/>
        <v>7.3259020643163153E-4</v>
      </c>
      <c r="P69" s="379">
        <v>2925</v>
      </c>
      <c r="Q69" s="244">
        <f t="shared" si="57"/>
        <v>6.0170130271931961E-4</v>
      </c>
      <c r="R69" s="427">
        <v>3525</v>
      </c>
      <c r="S69" s="428">
        <f t="shared" si="58"/>
        <v>6.5426453334976572E-4</v>
      </c>
      <c r="T69" s="555">
        <v>3325</v>
      </c>
      <c r="U69" s="505">
        <f t="shared" si="59"/>
        <v>7.3761101877724722E-4</v>
      </c>
      <c r="V69" s="243">
        <v>3500</v>
      </c>
      <c r="W69" s="505">
        <f t="shared" si="60"/>
        <v>6.6037735849056609E-4</v>
      </c>
      <c r="X69" s="427">
        <v>3750</v>
      </c>
      <c r="Y69" s="428">
        <f t="shared" si="61"/>
        <v>7.0754716981132071E-4</v>
      </c>
      <c r="Z69" s="520">
        <f t="shared" si="62"/>
        <v>7.1400000000000005E-2</v>
      </c>
      <c r="AA69" s="573">
        <v>4000</v>
      </c>
      <c r="AB69" s="505">
        <f t="shared" si="63"/>
        <v>7.2727272727272723E-4</v>
      </c>
      <c r="AC69" s="529">
        <f t="shared" ref="AC69:AC131" si="65">ROUND((AA69-X69)/X69,4)</f>
        <v>6.6699999999999995E-2</v>
      </c>
      <c r="AD69" s="427">
        <v>4250</v>
      </c>
      <c r="AE69" s="428">
        <f t="shared" si="64"/>
        <v>7.3275862068965518E-4</v>
      </c>
      <c r="AF69" s="520">
        <f t="shared" ref="AF69:AF131" si="66">ROUND((AD69-AA69)/AA69,4)</f>
        <v>6.25E-2</v>
      </c>
    </row>
    <row r="70" spans="1:32" ht="18" hidden="1" customHeight="1" x14ac:dyDescent="0.25">
      <c r="A70" s="101">
        <v>4</v>
      </c>
      <c r="B70" s="104" t="s">
        <v>61</v>
      </c>
      <c r="C70" s="75" t="s">
        <v>232</v>
      </c>
      <c r="D70" s="53">
        <v>32533</v>
      </c>
      <c r="E70" s="54">
        <f t="shared" si="51"/>
        <v>6.1802411900816661E-3</v>
      </c>
      <c r="F70" s="165">
        <v>32441</v>
      </c>
      <c r="G70" s="164">
        <f t="shared" si="52"/>
        <v>6.3458883764474644E-3</v>
      </c>
      <c r="H70" s="125">
        <v>37133</v>
      </c>
      <c r="I70" s="54">
        <f t="shared" si="53"/>
        <v>6.8071481563431431E-3</v>
      </c>
      <c r="J70" s="165">
        <v>34062</v>
      </c>
      <c r="K70" s="164">
        <f t="shared" si="54"/>
        <v>6.0954844704013246E-3</v>
      </c>
      <c r="L70" s="329">
        <v>38079</v>
      </c>
      <c r="M70" s="211">
        <f t="shared" si="55"/>
        <v>7.420920686047835E-3</v>
      </c>
      <c r="N70" s="243">
        <v>43136</v>
      </c>
      <c r="O70" s="244">
        <f t="shared" si="56"/>
        <v>8.1550996502283511E-3</v>
      </c>
      <c r="P70" s="379">
        <v>35157</v>
      </c>
      <c r="Q70" s="244">
        <f t="shared" si="57"/>
        <v>7.2321410939155967E-3</v>
      </c>
      <c r="R70" s="427">
        <v>31010</v>
      </c>
      <c r="S70" s="428">
        <f t="shared" si="58"/>
        <v>5.7556718238797834E-3</v>
      </c>
      <c r="T70" s="555">
        <v>23225</v>
      </c>
      <c r="U70" s="505">
        <f t="shared" si="59"/>
        <v>5.1521852364215239E-3</v>
      </c>
      <c r="V70" s="243">
        <v>32000</v>
      </c>
      <c r="W70" s="505">
        <f t="shared" si="60"/>
        <v>6.0377358490566035E-3</v>
      </c>
      <c r="X70" s="427">
        <v>35000</v>
      </c>
      <c r="Y70" s="428">
        <f t="shared" si="61"/>
        <v>6.6037735849056606E-3</v>
      </c>
      <c r="Z70" s="520">
        <f t="shared" si="62"/>
        <v>9.3799999999999994E-2</v>
      </c>
      <c r="AA70" s="573">
        <v>37000</v>
      </c>
      <c r="AB70" s="505">
        <f t="shared" si="63"/>
        <v>6.7272727272727276E-3</v>
      </c>
      <c r="AC70" s="529">
        <f t="shared" si="65"/>
        <v>5.7099999999999998E-2</v>
      </c>
      <c r="AD70" s="427">
        <v>38000</v>
      </c>
      <c r="AE70" s="428">
        <f t="shared" si="64"/>
        <v>6.5517241379310347E-3</v>
      </c>
      <c r="AF70" s="520">
        <f t="shared" si="66"/>
        <v>2.7E-2</v>
      </c>
    </row>
    <row r="71" spans="1:32" ht="18" hidden="1" customHeight="1" x14ac:dyDescent="0.25">
      <c r="A71" s="101">
        <v>5</v>
      </c>
      <c r="B71" s="104" t="s">
        <v>63</v>
      </c>
      <c r="C71" s="75" t="s">
        <v>233</v>
      </c>
      <c r="D71" s="53">
        <v>1114</v>
      </c>
      <c r="E71" s="54">
        <f t="shared" si="51"/>
        <v>2.1162477133221578E-4</v>
      </c>
      <c r="F71" s="165">
        <v>2023</v>
      </c>
      <c r="G71" s="164">
        <f t="shared" si="52"/>
        <v>3.9572553822487654E-4</v>
      </c>
      <c r="H71" s="125">
        <v>2119</v>
      </c>
      <c r="I71" s="54">
        <f t="shared" si="53"/>
        <v>3.8845089120973582E-4</v>
      </c>
      <c r="J71" s="165">
        <v>3549</v>
      </c>
      <c r="K71" s="164">
        <f t="shared" si="54"/>
        <v>6.3510288255106274E-4</v>
      </c>
      <c r="L71" s="329">
        <v>3051</v>
      </c>
      <c r="M71" s="211">
        <f t="shared" si="55"/>
        <v>5.9458570375093742E-4</v>
      </c>
      <c r="N71" s="243">
        <v>2497</v>
      </c>
      <c r="O71" s="244">
        <f t="shared" si="56"/>
        <v>4.7207167624768617E-4</v>
      </c>
      <c r="P71" s="379">
        <v>2342</v>
      </c>
      <c r="Q71" s="244">
        <f t="shared" si="57"/>
        <v>4.8177246186962273E-4</v>
      </c>
      <c r="R71" s="427">
        <v>1758</v>
      </c>
      <c r="S71" s="428">
        <f t="shared" si="58"/>
        <v>3.2629703535571296E-4</v>
      </c>
      <c r="T71" s="555">
        <v>930</v>
      </c>
      <c r="U71" s="505">
        <f t="shared" si="59"/>
        <v>2.063092473572451E-4</v>
      </c>
      <c r="V71" s="243">
        <v>1800</v>
      </c>
      <c r="W71" s="505">
        <f t="shared" si="60"/>
        <v>3.3962264150943399E-4</v>
      </c>
      <c r="X71" s="427">
        <v>2000</v>
      </c>
      <c r="Y71" s="428">
        <f t="shared" si="61"/>
        <v>3.7735849056603772E-4</v>
      </c>
      <c r="Z71" s="520">
        <f t="shared" si="62"/>
        <v>0.1111</v>
      </c>
      <c r="AA71" s="379">
        <v>2100</v>
      </c>
      <c r="AB71" s="505">
        <f t="shared" si="63"/>
        <v>3.8181818181818184E-4</v>
      </c>
      <c r="AC71" s="529">
        <f t="shared" si="65"/>
        <v>0.05</v>
      </c>
      <c r="AD71" s="427">
        <v>2200</v>
      </c>
      <c r="AE71" s="428">
        <f t="shared" si="64"/>
        <v>3.7931034482758619E-4</v>
      </c>
      <c r="AF71" s="520">
        <f t="shared" si="66"/>
        <v>4.7600000000000003E-2</v>
      </c>
    </row>
    <row r="72" spans="1:32" ht="18" hidden="1" customHeight="1" x14ac:dyDescent="0.25">
      <c r="A72" s="101">
        <v>6</v>
      </c>
      <c r="B72" s="104" t="s">
        <v>62</v>
      </c>
      <c r="C72" s="75" t="s">
        <v>219</v>
      </c>
      <c r="D72" s="53">
        <v>2697</v>
      </c>
      <c r="E72" s="54">
        <f t="shared" si="51"/>
        <v>5.1234471120555286E-4</v>
      </c>
      <c r="F72" s="165">
        <v>2610</v>
      </c>
      <c r="G72" s="164">
        <f t="shared" si="52"/>
        <v>5.1055049667173892E-4</v>
      </c>
      <c r="H72" s="125">
        <v>3323</v>
      </c>
      <c r="I72" s="54">
        <f t="shared" si="53"/>
        <v>6.0916579117034078E-4</v>
      </c>
      <c r="J72" s="165">
        <v>3572</v>
      </c>
      <c r="K72" s="164">
        <f t="shared" si="54"/>
        <v>6.3921879303251519E-4</v>
      </c>
      <c r="L72" s="329">
        <v>2501</v>
      </c>
      <c r="M72" s="211">
        <f t="shared" si="55"/>
        <v>4.8740047364178777E-4</v>
      </c>
      <c r="N72" s="243">
        <v>3850</v>
      </c>
      <c r="O72" s="244">
        <f t="shared" si="56"/>
        <v>7.2786381800304034E-4</v>
      </c>
      <c r="P72" s="379">
        <v>3019</v>
      </c>
      <c r="Q72" s="244">
        <f t="shared" si="57"/>
        <v>6.2103802834517123E-4</v>
      </c>
      <c r="R72" s="427">
        <v>3764</v>
      </c>
      <c r="S72" s="428">
        <f t="shared" si="58"/>
        <v>6.9862459674567892E-4</v>
      </c>
      <c r="T72" s="555">
        <v>2644</v>
      </c>
      <c r="U72" s="505">
        <f t="shared" si="59"/>
        <v>5.8653940861565169E-4</v>
      </c>
      <c r="V72" s="243">
        <v>3250</v>
      </c>
      <c r="W72" s="505">
        <f t="shared" si="60"/>
        <v>6.1320754716981136E-4</v>
      </c>
      <c r="X72" s="427">
        <v>3250</v>
      </c>
      <c r="Y72" s="428">
        <f t="shared" si="61"/>
        <v>6.1320754716981136E-4</v>
      </c>
      <c r="Z72" s="520">
        <f t="shared" si="62"/>
        <v>0</v>
      </c>
      <c r="AA72" s="379">
        <v>3350</v>
      </c>
      <c r="AB72" s="505">
        <f t="shared" si="63"/>
        <v>6.0909090909090906E-4</v>
      </c>
      <c r="AC72" s="529">
        <f t="shared" si="65"/>
        <v>3.0800000000000001E-2</v>
      </c>
      <c r="AD72" s="427">
        <v>3450</v>
      </c>
      <c r="AE72" s="428">
        <f t="shared" si="64"/>
        <v>5.9482758620689653E-4</v>
      </c>
      <c r="AF72" s="520">
        <f t="shared" si="66"/>
        <v>2.9899999999999999E-2</v>
      </c>
    </row>
    <row r="73" spans="1:32" ht="18" hidden="1" customHeight="1" x14ac:dyDescent="0.25">
      <c r="A73" s="101">
        <v>7</v>
      </c>
      <c r="B73" s="104" t="s">
        <v>64</v>
      </c>
      <c r="C73" s="75" t="s">
        <v>220</v>
      </c>
      <c r="D73" s="53">
        <v>3250</v>
      </c>
      <c r="E73" s="54">
        <f t="shared" si="51"/>
        <v>6.1739722336597957E-4</v>
      </c>
      <c r="F73" s="165">
        <v>3197</v>
      </c>
      <c r="G73" s="164">
        <f t="shared" si="52"/>
        <v>6.2537545511860129E-4</v>
      </c>
      <c r="H73" s="125">
        <v>3078</v>
      </c>
      <c r="I73" s="54">
        <f t="shared" si="53"/>
        <v>5.6425287548068275E-4</v>
      </c>
      <c r="J73" s="165">
        <v>2962</v>
      </c>
      <c r="K73" s="164">
        <f t="shared" si="54"/>
        <v>5.3005768895921326E-4</v>
      </c>
      <c r="L73" s="329">
        <v>2990</v>
      </c>
      <c r="M73" s="211">
        <f t="shared" si="55"/>
        <v>5.8269788732064987E-4</v>
      </c>
      <c r="N73" s="243">
        <v>5402</v>
      </c>
      <c r="O73" s="244">
        <f t="shared" si="56"/>
        <v>1.0212780116499803E-3</v>
      </c>
      <c r="P73" s="379">
        <v>5832</v>
      </c>
      <c r="Q73" s="244">
        <f t="shared" si="57"/>
        <v>1.1996998281911357E-3</v>
      </c>
      <c r="R73" s="427">
        <v>5851</v>
      </c>
      <c r="S73" s="428">
        <f t="shared" si="58"/>
        <v>1.0859863218807035E-3</v>
      </c>
      <c r="T73" s="555">
        <v>4057</v>
      </c>
      <c r="U73" s="505">
        <f t="shared" si="59"/>
        <v>8.9999636185843365E-4</v>
      </c>
      <c r="V73" s="243">
        <v>5850</v>
      </c>
      <c r="W73" s="505">
        <f t="shared" si="60"/>
        <v>1.1037735849056603E-3</v>
      </c>
      <c r="X73" s="427">
        <v>5995</v>
      </c>
      <c r="Y73" s="428">
        <f t="shared" si="61"/>
        <v>1.1311320754716981E-3</v>
      </c>
      <c r="Z73" s="520">
        <f t="shared" si="62"/>
        <v>2.4799999999999999E-2</v>
      </c>
      <c r="AA73" s="573">
        <f>ROUND(X73*$AH$1,-1)</f>
        <v>6140</v>
      </c>
      <c r="AB73" s="505">
        <f t="shared" si="63"/>
        <v>1.1163636363636363E-3</v>
      </c>
      <c r="AC73" s="529">
        <f t="shared" si="65"/>
        <v>2.4199999999999999E-2</v>
      </c>
      <c r="AD73" s="427">
        <f>ROUND(AA73*$AH$1,-1)</f>
        <v>6290</v>
      </c>
      <c r="AE73" s="428">
        <f t="shared" si="64"/>
        <v>1.0844827586206896E-3</v>
      </c>
      <c r="AF73" s="520">
        <f t="shared" si="66"/>
        <v>2.4400000000000002E-2</v>
      </c>
    </row>
    <row r="74" spans="1:32" ht="18" hidden="1" customHeight="1" x14ac:dyDescent="0.25">
      <c r="A74" s="101">
        <v>8</v>
      </c>
      <c r="B74" s="104" t="s">
        <v>65</v>
      </c>
      <c r="C74" s="75" t="s">
        <v>221</v>
      </c>
      <c r="D74" s="53">
        <v>25502</v>
      </c>
      <c r="E74" s="54">
        <f t="shared" si="51"/>
        <v>4.8445735354705269E-3</v>
      </c>
      <c r="F74" s="165">
        <v>23178</v>
      </c>
      <c r="G74" s="164">
        <f t="shared" si="52"/>
        <v>4.5339231463055801E-3</v>
      </c>
      <c r="H74" s="125">
        <v>22665</v>
      </c>
      <c r="I74" s="54">
        <f t="shared" si="53"/>
        <v>4.1549029963514218E-3</v>
      </c>
      <c r="J74" s="165">
        <v>22407</v>
      </c>
      <c r="K74" s="164">
        <f t="shared" si="54"/>
        <v>4.0097915720827453E-3</v>
      </c>
      <c r="L74" s="329">
        <v>25686</v>
      </c>
      <c r="M74" s="211">
        <f t="shared" si="55"/>
        <v>5.0057451283338503E-3</v>
      </c>
      <c r="N74" s="243">
        <v>34595</v>
      </c>
      <c r="O74" s="244">
        <f t="shared" si="56"/>
        <v>6.5403763074844629E-3</v>
      </c>
      <c r="P74" s="379">
        <v>30495</v>
      </c>
      <c r="Q74" s="244">
        <f t="shared" si="57"/>
        <v>6.2731217868121887E-3</v>
      </c>
      <c r="R74" s="427">
        <v>30461</v>
      </c>
      <c r="S74" s="428">
        <f t="shared" si="58"/>
        <v>5.6537736029410538E-3</v>
      </c>
      <c r="T74" s="555">
        <v>17704</v>
      </c>
      <c r="U74" s="505">
        <f t="shared" si="59"/>
        <v>3.9274181884007171E-3</v>
      </c>
      <c r="V74" s="243">
        <v>26000</v>
      </c>
      <c r="W74" s="505">
        <f t="shared" si="60"/>
        <v>4.9056603773584909E-3</v>
      </c>
      <c r="X74" s="427">
        <v>32000</v>
      </c>
      <c r="Y74" s="428">
        <f t="shared" si="61"/>
        <v>6.0377358490566035E-3</v>
      </c>
      <c r="Z74" s="520">
        <f t="shared" si="62"/>
        <v>0.23080000000000001</v>
      </c>
      <c r="AA74" s="379">
        <v>34000</v>
      </c>
      <c r="AB74" s="505">
        <f t="shared" si="63"/>
        <v>6.1818181818181816E-3</v>
      </c>
      <c r="AC74" s="529">
        <f t="shared" si="65"/>
        <v>6.25E-2</v>
      </c>
      <c r="AD74" s="427">
        <v>36000</v>
      </c>
      <c r="AE74" s="428">
        <f t="shared" si="64"/>
        <v>6.2068965517241377E-3</v>
      </c>
      <c r="AF74" s="520">
        <f t="shared" si="66"/>
        <v>5.8799999999999998E-2</v>
      </c>
    </row>
    <row r="75" spans="1:32" ht="18" hidden="1" customHeight="1" x14ac:dyDescent="0.25">
      <c r="A75" s="101">
        <v>9</v>
      </c>
      <c r="B75" s="104" t="s">
        <v>66</v>
      </c>
      <c r="C75" s="75" t="s">
        <v>222</v>
      </c>
      <c r="D75" s="53">
        <v>5809</v>
      </c>
      <c r="E75" s="54">
        <f t="shared" si="51"/>
        <v>1.1035262986255308E-3</v>
      </c>
      <c r="F75" s="165">
        <v>7105</v>
      </c>
      <c r="G75" s="164">
        <f t="shared" si="52"/>
        <v>1.3898319076064004E-3</v>
      </c>
      <c r="H75" s="125">
        <v>6997</v>
      </c>
      <c r="I75" s="54">
        <f t="shared" si="53"/>
        <v>1.2826762084919875E-3</v>
      </c>
      <c r="J75" s="165">
        <v>7318</v>
      </c>
      <c r="K75" s="164">
        <f t="shared" si="54"/>
        <v>1.3095753436203656E-3</v>
      </c>
      <c r="L75" s="329">
        <v>7562</v>
      </c>
      <c r="M75" s="211">
        <f t="shared" si="55"/>
        <v>1.4736994728825265E-3</v>
      </c>
      <c r="N75" s="243">
        <v>9512</v>
      </c>
      <c r="O75" s="244">
        <f t="shared" si="56"/>
        <v>1.7982962693103689E-3</v>
      </c>
      <c r="P75" s="379">
        <v>7996</v>
      </c>
      <c r="Q75" s="244">
        <f t="shared" si="57"/>
        <v>1.6448559372798904E-3</v>
      </c>
      <c r="R75" s="427">
        <v>6762</v>
      </c>
      <c r="S75" s="428">
        <f t="shared" si="58"/>
        <v>1.2550742622726571E-3</v>
      </c>
      <c r="T75" s="555">
        <v>4527</v>
      </c>
      <c r="U75" s="505">
        <f t="shared" si="59"/>
        <v>1.0042601750389769E-3</v>
      </c>
      <c r="V75" s="243">
        <v>6500</v>
      </c>
      <c r="W75" s="505">
        <f t="shared" si="60"/>
        <v>1.2264150943396227E-3</v>
      </c>
      <c r="X75" s="427">
        <v>6500</v>
      </c>
      <c r="Y75" s="428">
        <f t="shared" si="61"/>
        <v>1.2264150943396227E-3</v>
      </c>
      <c r="Z75" s="520">
        <f t="shared" si="62"/>
        <v>0</v>
      </c>
      <c r="AA75" s="379">
        <f>ROUND(X75*$AH$1,-1)</f>
        <v>6660</v>
      </c>
      <c r="AB75" s="505">
        <f t="shared" si="63"/>
        <v>1.2109090909090908E-3</v>
      </c>
      <c r="AC75" s="529">
        <f t="shared" si="65"/>
        <v>2.46E-2</v>
      </c>
      <c r="AD75" s="427">
        <f>ROUND(AA75*$AH$1,-1)</f>
        <v>6830</v>
      </c>
      <c r="AE75" s="428">
        <f t="shared" si="64"/>
        <v>1.1775862068965518E-3</v>
      </c>
      <c r="AF75" s="520">
        <f t="shared" si="66"/>
        <v>2.5499999999999998E-2</v>
      </c>
    </row>
    <row r="76" spans="1:32" ht="18" hidden="1" customHeight="1" x14ac:dyDescent="0.25">
      <c r="A76" s="101">
        <v>10</v>
      </c>
      <c r="B76" s="104" t="s">
        <v>67</v>
      </c>
      <c r="C76" s="75" t="s">
        <v>223</v>
      </c>
      <c r="D76" s="53">
        <v>2046</v>
      </c>
      <c r="E76" s="54">
        <f t="shared" si="51"/>
        <v>3.8867529815593668E-4</v>
      </c>
      <c r="F76" s="165">
        <v>1478</v>
      </c>
      <c r="G76" s="164">
        <f t="shared" si="52"/>
        <v>2.891163348968698E-4</v>
      </c>
      <c r="H76" s="125">
        <v>2401</v>
      </c>
      <c r="I76" s="54">
        <f t="shared" si="53"/>
        <v>4.4014657375864827E-4</v>
      </c>
      <c r="J76" s="165">
        <v>2945</v>
      </c>
      <c r="K76" s="164">
        <f t="shared" si="54"/>
        <v>5.2701549425553107E-4</v>
      </c>
      <c r="L76" s="329">
        <v>1936</v>
      </c>
      <c r="M76" s="211">
        <f t="shared" si="55"/>
        <v>3.7729200998420676E-4</v>
      </c>
      <c r="N76" s="243">
        <v>2836</v>
      </c>
      <c r="O76" s="244">
        <f t="shared" si="56"/>
        <v>5.3616150333938249E-4</v>
      </c>
      <c r="P76" s="379">
        <v>1229</v>
      </c>
      <c r="Q76" s="244">
        <f t="shared" si="57"/>
        <v>2.5281740206565601E-4</v>
      </c>
      <c r="R76" s="427">
        <v>784</v>
      </c>
      <c r="S76" s="428">
        <f t="shared" si="58"/>
        <v>1.4551585649538051E-4</v>
      </c>
      <c r="T76" s="555">
        <v>649</v>
      </c>
      <c r="U76" s="505">
        <f t="shared" si="59"/>
        <v>1.4397279734930331E-4</v>
      </c>
      <c r="V76" s="243">
        <v>800</v>
      </c>
      <c r="W76" s="505">
        <f t="shared" si="60"/>
        <v>1.509433962264151E-4</v>
      </c>
      <c r="X76" s="427">
        <v>1000</v>
      </c>
      <c r="Y76" s="428">
        <f t="shared" si="61"/>
        <v>1.8867924528301886E-4</v>
      </c>
      <c r="Z76" s="520">
        <f t="shared" si="62"/>
        <v>0.25</v>
      </c>
      <c r="AA76" s="573">
        <f>ROUND(X76*$AH$1,-1)</f>
        <v>1030</v>
      </c>
      <c r="AB76" s="505">
        <f t="shared" si="63"/>
        <v>1.8727272727272728E-4</v>
      </c>
      <c r="AC76" s="529">
        <f t="shared" si="65"/>
        <v>0.03</v>
      </c>
      <c r="AD76" s="427">
        <f>ROUND(AA76*$AH$1,-1)</f>
        <v>1060</v>
      </c>
      <c r="AE76" s="428">
        <f t="shared" si="64"/>
        <v>1.8275862068965518E-4</v>
      </c>
      <c r="AF76" s="520">
        <f t="shared" si="66"/>
        <v>2.9100000000000001E-2</v>
      </c>
    </row>
    <row r="77" spans="1:32" ht="18" hidden="1" customHeight="1" x14ac:dyDescent="0.25">
      <c r="A77" s="101">
        <v>11</v>
      </c>
      <c r="B77" s="104" t="s">
        <v>308</v>
      </c>
      <c r="C77" s="75" t="s">
        <v>258</v>
      </c>
      <c r="D77" s="53">
        <v>0</v>
      </c>
      <c r="E77" s="54">
        <f t="shared" si="51"/>
        <v>0</v>
      </c>
      <c r="F77" s="165">
        <v>63</v>
      </c>
      <c r="G77" s="164">
        <f t="shared" si="52"/>
        <v>1.2323632678283353E-5</v>
      </c>
      <c r="H77" s="125">
        <v>0</v>
      </c>
      <c r="I77" s="54">
        <f t="shared" si="53"/>
        <v>0</v>
      </c>
      <c r="J77" s="165">
        <f>652+534</f>
        <v>1186</v>
      </c>
      <c r="K77" s="164">
        <f t="shared" si="54"/>
        <v>2.1223781873923935E-4</v>
      </c>
      <c r="L77" s="329">
        <v>1003</v>
      </c>
      <c r="M77" s="211">
        <f t="shared" si="55"/>
        <v>1.9546688327177654E-4</v>
      </c>
      <c r="N77" s="243">
        <f>654+70</f>
        <v>724</v>
      </c>
      <c r="O77" s="244">
        <f t="shared" si="56"/>
        <v>1.3687620889200032E-4</v>
      </c>
      <c r="P77" s="379">
        <f>495+101</f>
        <v>596</v>
      </c>
      <c r="Q77" s="244">
        <f t="shared" si="57"/>
        <v>1.2260306886178272E-4</v>
      </c>
      <c r="R77" s="427">
        <v>951</v>
      </c>
      <c r="S77" s="428">
        <f t="shared" si="58"/>
        <v>1.765122187845751E-4</v>
      </c>
      <c r="T77" s="555">
        <v>210</v>
      </c>
      <c r="U77" s="505">
        <f t="shared" si="59"/>
        <v>4.6585959080668245E-5</v>
      </c>
      <c r="V77" s="243">
        <v>800</v>
      </c>
      <c r="W77" s="505">
        <f t="shared" si="60"/>
        <v>1.509433962264151E-4</v>
      </c>
      <c r="X77" s="427">
        <v>800</v>
      </c>
      <c r="Y77" s="428">
        <f t="shared" si="61"/>
        <v>1.509433962264151E-4</v>
      </c>
      <c r="Z77" s="520">
        <f t="shared" si="62"/>
        <v>0</v>
      </c>
      <c r="AA77" s="379">
        <v>800</v>
      </c>
      <c r="AB77" s="505">
        <f t="shared" si="63"/>
        <v>1.4545454545454546E-4</v>
      </c>
      <c r="AC77" s="529">
        <f t="shared" si="65"/>
        <v>0</v>
      </c>
      <c r="AD77" s="427">
        <v>800</v>
      </c>
      <c r="AE77" s="428">
        <f t="shared" si="64"/>
        <v>1.3793103448275863E-4</v>
      </c>
      <c r="AF77" s="520">
        <f t="shared" si="66"/>
        <v>0</v>
      </c>
    </row>
    <row r="78" spans="1:32" ht="18" hidden="1" customHeight="1" x14ac:dyDescent="0.25">
      <c r="A78" s="101">
        <v>12</v>
      </c>
      <c r="B78" s="104" t="s">
        <v>68</v>
      </c>
      <c r="C78" s="75" t="s">
        <v>224</v>
      </c>
      <c r="D78" s="53">
        <v>24780</v>
      </c>
      <c r="E78" s="54">
        <f t="shared" si="51"/>
        <v>4.7074163676950687E-3</v>
      </c>
      <c r="F78" s="165">
        <v>18699</v>
      </c>
      <c r="G78" s="164">
        <f t="shared" si="52"/>
        <v>3.6577715468447685E-3</v>
      </c>
      <c r="H78" s="125">
        <v>11723</v>
      </c>
      <c r="I78" s="54">
        <f t="shared" si="53"/>
        <v>2.1490371862443289E-3</v>
      </c>
      <c r="J78" s="165">
        <v>13895</v>
      </c>
      <c r="K78" s="164">
        <f t="shared" si="54"/>
        <v>2.4865467886861139E-3</v>
      </c>
      <c r="L78" s="329">
        <v>25733</v>
      </c>
      <c r="M78" s="211">
        <f t="shared" si="55"/>
        <v>5.0149045934522688E-3</v>
      </c>
      <c r="N78" s="243">
        <v>38294</v>
      </c>
      <c r="O78" s="244">
        <f t="shared" si="56"/>
        <v>7.2396927393788123E-3</v>
      </c>
      <c r="P78" s="379">
        <v>42817</v>
      </c>
      <c r="Q78" s="244">
        <f t="shared" si="57"/>
        <v>8.8078785225754221E-3</v>
      </c>
      <c r="R78" s="427">
        <v>42335</v>
      </c>
      <c r="S78" s="428">
        <f t="shared" si="58"/>
        <v>7.8576706437907332E-3</v>
      </c>
      <c r="T78" s="555">
        <v>31991</v>
      </c>
      <c r="U78" s="505">
        <f t="shared" si="59"/>
        <v>7.0968162711888471E-3</v>
      </c>
      <c r="V78" s="243">
        <v>45690</v>
      </c>
      <c r="W78" s="505">
        <f t="shared" si="60"/>
        <v>8.620754716981132E-3</v>
      </c>
      <c r="X78" s="427">
        <v>54230</v>
      </c>
      <c r="Y78" s="428">
        <f t="shared" si="61"/>
        <v>1.0232075471698113E-2</v>
      </c>
      <c r="Z78" s="520">
        <f t="shared" si="62"/>
        <v>0.18690000000000001</v>
      </c>
      <c r="AA78" s="379">
        <v>56760</v>
      </c>
      <c r="AB78" s="505">
        <f t="shared" si="63"/>
        <v>1.0319999999999999E-2</v>
      </c>
      <c r="AC78" s="529">
        <f t="shared" si="65"/>
        <v>4.6699999999999998E-2</v>
      </c>
      <c r="AD78" s="427">
        <v>61305</v>
      </c>
      <c r="AE78" s="428">
        <f t="shared" si="64"/>
        <v>1.0569827586206896E-2</v>
      </c>
      <c r="AF78" s="520">
        <f t="shared" si="66"/>
        <v>8.0100000000000005E-2</v>
      </c>
    </row>
    <row r="79" spans="1:32" ht="18" hidden="1" customHeight="1" x14ac:dyDescent="0.25">
      <c r="A79" s="101">
        <v>13</v>
      </c>
      <c r="B79" s="104" t="s">
        <v>69</v>
      </c>
      <c r="C79" s="75" t="s">
        <v>5</v>
      </c>
      <c r="D79" s="53">
        <v>25276</v>
      </c>
      <c r="E79" s="54">
        <f t="shared" si="51"/>
        <v>4.8016406823995382E-3</v>
      </c>
      <c r="F79" s="165">
        <v>26735</v>
      </c>
      <c r="G79" s="164">
        <f t="shared" si="52"/>
        <v>5.2297193595858011E-3</v>
      </c>
      <c r="H79" s="125">
        <v>29199</v>
      </c>
      <c r="I79" s="54">
        <f t="shared" si="53"/>
        <v>5.352702960091116E-3</v>
      </c>
      <c r="J79" s="165">
        <v>30657</v>
      </c>
      <c r="K79" s="164">
        <f t="shared" si="54"/>
        <v>5.4861507665167463E-3</v>
      </c>
      <c r="L79" s="329">
        <v>32983</v>
      </c>
      <c r="M79" s="211">
        <f t="shared" si="55"/>
        <v>6.427800808527423E-3</v>
      </c>
      <c r="N79" s="243">
        <v>35645</v>
      </c>
      <c r="O79" s="244">
        <f t="shared" si="56"/>
        <v>6.7388846214852917E-3</v>
      </c>
      <c r="P79" s="379">
        <v>37165</v>
      </c>
      <c r="Q79" s="244">
        <f t="shared" si="57"/>
        <v>7.645206466859321E-3</v>
      </c>
      <c r="R79" s="427">
        <v>33555</v>
      </c>
      <c r="S79" s="428">
        <f t="shared" si="58"/>
        <v>6.2280415366103231E-3</v>
      </c>
      <c r="T79" s="555">
        <v>21498</v>
      </c>
      <c r="U79" s="505">
        <f t="shared" si="59"/>
        <v>4.7690711824581239E-3</v>
      </c>
      <c r="V79" s="243">
        <v>31595</v>
      </c>
      <c r="W79" s="505">
        <f t="shared" si="60"/>
        <v>5.9613207547169807E-3</v>
      </c>
      <c r="X79" s="427">
        <v>39100</v>
      </c>
      <c r="Y79" s="428">
        <f t="shared" si="61"/>
        <v>7.377358490566038E-3</v>
      </c>
      <c r="Z79" s="520">
        <f t="shared" si="62"/>
        <v>0.23749999999999999</v>
      </c>
      <c r="AA79" s="379">
        <v>39800</v>
      </c>
      <c r="AB79" s="505">
        <f t="shared" si="63"/>
        <v>7.2363636363636363E-3</v>
      </c>
      <c r="AC79" s="529">
        <f t="shared" si="65"/>
        <v>1.7899999999999999E-2</v>
      </c>
      <c r="AD79" s="427">
        <v>40925</v>
      </c>
      <c r="AE79" s="428">
        <f t="shared" si="64"/>
        <v>7.0560344827586205E-3</v>
      </c>
      <c r="AF79" s="520">
        <f t="shared" si="66"/>
        <v>2.8299999999999999E-2</v>
      </c>
    </row>
    <row r="80" spans="1:32" ht="18" hidden="1" customHeight="1" x14ac:dyDescent="0.25">
      <c r="A80" s="101">
        <v>14</v>
      </c>
      <c r="B80" s="96" t="s">
        <v>70</v>
      </c>
      <c r="C80" s="76" t="s">
        <v>225</v>
      </c>
      <c r="D80" s="55">
        <v>15414</v>
      </c>
      <c r="E80" s="56">
        <f t="shared" si="51"/>
        <v>2.9281725541425259E-3</v>
      </c>
      <c r="F80" s="166">
        <v>19738</v>
      </c>
      <c r="G80" s="167">
        <f t="shared" si="52"/>
        <v>3.8610136794278863E-3</v>
      </c>
      <c r="H80" s="126">
        <v>20528</v>
      </c>
      <c r="I80" s="56">
        <f t="shared" si="53"/>
        <v>3.7631523807236697E-3</v>
      </c>
      <c r="J80" s="166">
        <v>23436</v>
      </c>
      <c r="K80" s="167">
        <f t="shared" si="54"/>
        <v>4.1939338279703316E-3</v>
      </c>
      <c r="L80" s="331">
        <v>27162</v>
      </c>
      <c r="M80" s="212">
        <f t="shared" si="55"/>
        <v>5.2933913094994961E-3</v>
      </c>
      <c r="N80" s="246">
        <v>33041</v>
      </c>
      <c r="O80" s="247">
        <f t="shared" si="56"/>
        <v>6.2465840027632362E-3</v>
      </c>
      <c r="P80" s="381">
        <v>33499</v>
      </c>
      <c r="Q80" s="247">
        <f t="shared" si="57"/>
        <v>6.8910741674511073E-3</v>
      </c>
      <c r="R80" s="430">
        <v>34562</v>
      </c>
      <c r="S80" s="431">
        <f t="shared" si="58"/>
        <v>6.4149477451445683E-3</v>
      </c>
      <c r="T80" s="556">
        <v>24648</v>
      </c>
      <c r="U80" s="506">
        <f t="shared" si="59"/>
        <v>5.467860568668147E-3</v>
      </c>
      <c r="V80" s="246">
        <v>34505</v>
      </c>
      <c r="W80" s="506">
        <f t="shared" si="60"/>
        <v>6.5103773584905657E-3</v>
      </c>
      <c r="X80" s="430">
        <v>39615</v>
      </c>
      <c r="Y80" s="431">
        <f t="shared" si="61"/>
        <v>7.4745283018867927E-3</v>
      </c>
      <c r="Z80" s="521">
        <f t="shared" si="62"/>
        <v>0.14810000000000001</v>
      </c>
      <c r="AA80" s="381">
        <v>41690</v>
      </c>
      <c r="AB80" s="506">
        <f t="shared" si="63"/>
        <v>7.5799999999999999E-3</v>
      </c>
      <c r="AC80" s="529">
        <f t="shared" si="65"/>
        <v>5.2400000000000002E-2</v>
      </c>
      <c r="AD80" s="430">
        <v>43775</v>
      </c>
      <c r="AE80" s="431">
        <f t="shared" si="64"/>
        <v>7.5474137931034486E-3</v>
      </c>
      <c r="AF80" s="520">
        <f t="shared" si="66"/>
        <v>0.05</v>
      </c>
    </row>
    <row r="81" spans="1:32" ht="18" hidden="1" customHeight="1" thickBot="1" x14ac:dyDescent="0.3">
      <c r="A81" s="97"/>
      <c r="B81" s="98"/>
      <c r="C81" s="82" t="s">
        <v>226</v>
      </c>
      <c r="D81" s="37">
        <f>SUM(D67:D80)</f>
        <v>513655.13</v>
      </c>
      <c r="E81" s="38">
        <f t="shared" si="51"/>
        <v>9.7578231086058856E-2</v>
      </c>
      <c r="F81" s="179">
        <f>SUM(F67:F80)</f>
        <v>531438</v>
      </c>
      <c r="G81" s="180">
        <f t="shared" si="52"/>
        <v>0.10395629687748489</v>
      </c>
      <c r="H81" s="133">
        <f>SUM(H67:H80)</f>
        <v>579221</v>
      </c>
      <c r="I81" s="38">
        <f t="shared" si="53"/>
        <v>0.10618164872930362</v>
      </c>
      <c r="J81" s="179">
        <f>SUM(J67:J80)</f>
        <v>600403</v>
      </c>
      <c r="K81" s="180">
        <f t="shared" si="54"/>
        <v>0.10744369568675845</v>
      </c>
      <c r="L81" s="339">
        <f>SUM(L67:L80)</f>
        <v>658288</v>
      </c>
      <c r="M81" s="219">
        <f t="shared" si="55"/>
        <v>0.12828863774198526</v>
      </c>
      <c r="N81" s="263">
        <f>SUM(N67:N80)</f>
        <v>736493</v>
      </c>
      <c r="O81" s="264">
        <f t="shared" si="56"/>
        <v>0.13923807971753591</v>
      </c>
      <c r="P81" s="395">
        <f>SUM(P67:P80)</f>
        <v>743891</v>
      </c>
      <c r="Q81" s="264">
        <f t="shared" si="57"/>
        <v>0.15302570385681277</v>
      </c>
      <c r="R81" s="447">
        <f>SUM(R67:R80)</f>
        <v>706833</v>
      </c>
      <c r="S81" s="448">
        <f t="shared" si="58"/>
        <v>0.13119312422729504</v>
      </c>
      <c r="T81" s="395">
        <f>SUM(T67:T80)</f>
        <v>464898</v>
      </c>
      <c r="U81" s="514">
        <f t="shared" si="59"/>
        <v>0.10313199621278336</v>
      </c>
      <c r="V81" s="263">
        <f>SUM(V67:V80)</f>
        <v>647930</v>
      </c>
      <c r="W81" s="514">
        <f t="shared" si="60"/>
        <v>0.12225094339622641</v>
      </c>
      <c r="X81" s="447">
        <f>SUM(X67:X80)</f>
        <v>751225</v>
      </c>
      <c r="Y81" s="448">
        <f t="shared" si="61"/>
        <v>0.14174056603773585</v>
      </c>
      <c r="Z81" s="524">
        <f t="shared" si="62"/>
        <v>0.15939999999999999</v>
      </c>
      <c r="AA81" s="395">
        <f>SUM(AA67:AA80)</f>
        <v>769450</v>
      </c>
      <c r="AB81" s="514">
        <f t="shared" si="63"/>
        <v>0.1399</v>
      </c>
      <c r="AC81" s="533">
        <f t="shared" si="65"/>
        <v>2.4299999999999999E-2</v>
      </c>
      <c r="AD81" s="447">
        <f>SUM(AD67:AD80)</f>
        <v>795705</v>
      </c>
      <c r="AE81" s="448">
        <f t="shared" si="64"/>
        <v>0.13719051724137932</v>
      </c>
      <c r="AF81" s="524">
        <f t="shared" si="66"/>
        <v>3.4099999999999998E-2</v>
      </c>
    </row>
    <row r="82" spans="1:32" ht="18" hidden="1" customHeight="1" thickTop="1" x14ac:dyDescent="0.25">
      <c r="A82" s="97"/>
      <c r="B82" s="98"/>
      <c r="C82" s="78"/>
      <c r="D82" s="30"/>
      <c r="E82" s="29"/>
      <c r="F82" s="181"/>
      <c r="G82" s="160"/>
      <c r="H82" s="134"/>
      <c r="I82" s="29"/>
      <c r="J82" s="181"/>
      <c r="K82" s="160"/>
      <c r="L82" s="340"/>
      <c r="M82" s="209"/>
      <c r="N82" s="265"/>
      <c r="O82" s="242"/>
      <c r="P82" s="396"/>
      <c r="Q82" s="242"/>
      <c r="R82" s="449"/>
      <c r="S82" s="426"/>
      <c r="T82" s="396"/>
      <c r="U82" s="504"/>
      <c r="V82" s="265"/>
      <c r="W82" s="504"/>
      <c r="X82" s="449"/>
      <c r="Y82" s="426"/>
      <c r="Z82" s="426"/>
      <c r="AA82" s="396"/>
      <c r="AB82" s="504"/>
      <c r="AC82" s="530"/>
      <c r="AD82" s="449"/>
      <c r="AE82" s="426"/>
      <c r="AF82" s="523"/>
    </row>
    <row r="83" spans="1:32" ht="18" hidden="1" customHeight="1" x14ac:dyDescent="0.25">
      <c r="A83" s="97"/>
      <c r="B83" s="98"/>
      <c r="C83" s="73" t="s">
        <v>235</v>
      </c>
      <c r="D83" s="28"/>
      <c r="E83" s="29"/>
      <c r="F83" s="159"/>
      <c r="G83" s="160"/>
      <c r="H83" s="122"/>
      <c r="I83" s="29"/>
      <c r="J83" s="159"/>
      <c r="K83" s="160"/>
      <c r="L83" s="328"/>
      <c r="M83" s="209"/>
      <c r="N83" s="241"/>
      <c r="O83" s="242"/>
      <c r="P83" s="378"/>
      <c r="Q83" s="242"/>
      <c r="R83" s="425"/>
      <c r="S83" s="426"/>
      <c r="T83" s="378"/>
      <c r="U83" s="504"/>
      <c r="V83" s="241"/>
      <c r="W83" s="504"/>
      <c r="X83" s="425"/>
      <c r="Y83" s="426"/>
      <c r="Z83" s="426"/>
      <c r="AA83" s="378"/>
      <c r="AB83" s="504"/>
      <c r="AC83" s="532"/>
      <c r="AD83" s="425"/>
      <c r="AE83" s="426"/>
      <c r="AF83" s="528"/>
    </row>
    <row r="84" spans="1:32" s="3" customFormat="1" ht="18" hidden="1" customHeight="1" x14ac:dyDescent="0.25">
      <c r="A84" s="99"/>
      <c r="B84" s="100"/>
      <c r="C84" s="105" t="s">
        <v>214</v>
      </c>
      <c r="D84" s="106">
        <v>6</v>
      </c>
      <c r="E84" s="108"/>
      <c r="F84" s="177">
        <v>6</v>
      </c>
      <c r="G84" s="182"/>
      <c r="H84" s="132">
        <v>6</v>
      </c>
      <c r="I84" s="108"/>
      <c r="J84" s="177">
        <v>6.85</v>
      </c>
      <c r="K84" s="182"/>
      <c r="L84" s="338">
        <v>6.85</v>
      </c>
      <c r="M84" s="220"/>
      <c r="N84" s="261">
        <v>6.85</v>
      </c>
      <c r="O84" s="266"/>
      <c r="P84" s="394">
        <v>6.85</v>
      </c>
      <c r="Q84" s="266"/>
      <c r="R84" s="445">
        <v>6.85</v>
      </c>
      <c r="S84" s="450"/>
      <c r="T84" s="394">
        <v>6.85</v>
      </c>
      <c r="U84" s="515"/>
      <c r="V84" s="261">
        <v>6.85</v>
      </c>
      <c r="W84" s="515"/>
      <c r="X84" s="445">
        <v>6.85</v>
      </c>
      <c r="Y84" s="450"/>
      <c r="Z84" s="450"/>
      <c r="AA84" s="394">
        <v>6.85</v>
      </c>
      <c r="AB84" s="515"/>
      <c r="AC84" s="529">
        <f t="shared" si="65"/>
        <v>0</v>
      </c>
      <c r="AD84" s="445">
        <v>7</v>
      </c>
      <c r="AE84" s="450"/>
      <c r="AF84" s="520">
        <f t="shared" si="66"/>
        <v>2.1899999999999999E-2</v>
      </c>
    </row>
    <row r="85" spans="1:32" ht="18" hidden="1" customHeight="1" x14ac:dyDescent="0.25">
      <c r="A85" s="101">
        <v>1</v>
      </c>
      <c r="B85" s="102" t="s">
        <v>71</v>
      </c>
      <c r="C85" s="74" t="s">
        <v>215</v>
      </c>
      <c r="D85" s="51">
        <v>250959</v>
      </c>
      <c r="E85" s="52">
        <f t="shared" ref="E85:E97" si="67">D85/D$12</f>
        <v>4.7674273778062423E-2</v>
      </c>
      <c r="F85" s="161">
        <v>263236</v>
      </c>
      <c r="G85" s="162">
        <f t="shared" ref="G85:G97" si="68">F85/F$12</f>
        <v>5.1492440820644393E-2</v>
      </c>
      <c r="H85" s="123">
        <v>267101</v>
      </c>
      <c r="I85" s="52">
        <f t="shared" ref="I85:I97" si="69">H85/H$12</f>
        <v>4.896442732091158E-2</v>
      </c>
      <c r="J85" s="161">
        <v>312290</v>
      </c>
      <c r="K85" s="162">
        <f t="shared" ref="K85:K97" si="70">J85/J$12</f>
        <v>5.5885116706641702E-2</v>
      </c>
      <c r="L85" s="336">
        <v>320831</v>
      </c>
      <c r="M85" s="210">
        <f t="shared" ref="M85:M97" si="71">L85/L$12</f>
        <v>6.2524262838451986E-2</v>
      </c>
      <c r="N85" s="255">
        <v>334312</v>
      </c>
      <c r="O85" s="256">
        <f t="shared" ref="O85:O97" si="72">N85/N$12</f>
        <v>6.3203534733566866E-2</v>
      </c>
      <c r="P85" s="387">
        <v>343500</v>
      </c>
      <c r="Q85" s="256">
        <f t="shared" ref="Q85:Q97" si="73">P85/P$12</f>
        <v>7.0661332473191896E-2</v>
      </c>
      <c r="R85" s="439">
        <v>324529</v>
      </c>
      <c r="S85" s="440">
        <f t="shared" ref="S85:S97" si="74">R85/R$12</f>
        <v>6.0234841061976206E-2</v>
      </c>
      <c r="T85" s="560">
        <v>245484</v>
      </c>
      <c r="U85" s="510">
        <f t="shared" ref="U85:U97" si="75">T85/T$12</f>
        <v>5.4457655137898874E-2</v>
      </c>
      <c r="V85" s="255">
        <v>329750</v>
      </c>
      <c r="W85" s="510">
        <f t="shared" ref="W85:W97" si="76">V85/V$12</f>
        <v>6.2216981132075473E-2</v>
      </c>
      <c r="X85" s="427">
        <v>337055</v>
      </c>
      <c r="Y85" s="440">
        <f t="shared" ref="Y85:Y97" si="77">X85/X$12</f>
        <v>6.3595283018867924E-2</v>
      </c>
      <c r="Z85" s="520">
        <f t="shared" ref="Z85:Z97" si="78">ROUND((X85-V85)/V85,4)</f>
        <v>2.2200000000000001E-2</v>
      </c>
      <c r="AA85" s="379">
        <v>339675</v>
      </c>
      <c r="AB85" s="510">
        <f t="shared" ref="AB85:AB97" si="79">AA85/AA$12</f>
        <v>6.1759090909090909E-2</v>
      </c>
      <c r="AC85" s="529">
        <f t="shared" si="65"/>
        <v>7.7999999999999996E-3</v>
      </c>
      <c r="AD85" s="427">
        <v>354870</v>
      </c>
      <c r="AE85" s="440">
        <f t="shared" ref="AE85:AE97" si="80">AD85/AD$12</f>
        <v>6.1184482758620692E-2</v>
      </c>
      <c r="AF85" s="520">
        <f t="shared" si="66"/>
        <v>4.4699999999999997E-2</v>
      </c>
    </row>
    <row r="86" spans="1:32" ht="18" hidden="1" customHeight="1" x14ac:dyDescent="0.25">
      <c r="A86" s="103">
        <v>2</v>
      </c>
      <c r="B86" s="104" t="s">
        <v>72</v>
      </c>
      <c r="C86" s="75" t="s">
        <v>236</v>
      </c>
      <c r="D86" s="53">
        <v>75408</v>
      </c>
      <c r="E86" s="54">
        <f t="shared" si="67"/>
        <v>1.4325135329102089E-2</v>
      </c>
      <c r="F86" s="165">
        <v>83208</v>
      </c>
      <c r="G86" s="164">
        <f t="shared" si="68"/>
        <v>1.6276584569755576E-2</v>
      </c>
      <c r="H86" s="125">
        <v>87667</v>
      </c>
      <c r="I86" s="54">
        <f t="shared" si="69"/>
        <v>1.6070941141898967E-2</v>
      </c>
      <c r="J86" s="165">
        <v>80110</v>
      </c>
      <c r="K86" s="164">
        <f t="shared" si="70"/>
        <v>1.4335895159528217E-2</v>
      </c>
      <c r="L86" s="329">
        <v>67210</v>
      </c>
      <c r="M86" s="211">
        <f t="shared" si="71"/>
        <v>1.3098035119338087E-2</v>
      </c>
      <c r="N86" s="243">
        <v>80061</v>
      </c>
      <c r="O86" s="244">
        <f t="shared" si="72"/>
        <v>1.513597535925751E-2</v>
      </c>
      <c r="P86" s="379">
        <v>100969</v>
      </c>
      <c r="Q86" s="244">
        <f t="shared" si="73"/>
        <v>2.0770317550176744E-2</v>
      </c>
      <c r="R86" s="427">
        <v>97880</v>
      </c>
      <c r="S86" s="428">
        <f t="shared" si="74"/>
        <v>1.81672092267447E-2</v>
      </c>
      <c r="T86" s="558">
        <v>72541</v>
      </c>
      <c r="U86" s="505">
        <f t="shared" si="75"/>
        <v>1.60923431317655E-2</v>
      </c>
      <c r="V86" s="243">
        <v>103000</v>
      </c>
      <c r="W86" s="505">
        <f t="shared" si="76"/>
        <v>1.9433962264150943E-2</v>
      </c>
      <c r="X86" s="427">
        <v>103000</v>
      </c>
      <c r="Y86" s="428">
        <f t="shared" si="77"/>
        <v>1.9433962264150943E-2</v>
      </c>
      <c r="Z86" s="520">
        <f t="shared" si="78"/>
        <v>0</v>
      </c>
      <c r="AA86" s="379">
        <v>105000</v>
      </c>
      <c r="AB86" s="505">
        <f t="shared" si="79"/>
        <v>1.9090909090909092E-2</v>
      </c>
      <c r="AC86" s="529">
        <f t="shared" si="65"/>
        <v>1.9400000000000001E-2</v>
      </c>
      <c r="AD86" s="427">
        <v>108000</v>
      </c>
      <c r="AE86" s="428">
        <f t="shared" si="80"/>
        <v>1.8620689655172412E-2</v>
      </c>
      <c r="AF86" s="520">
        <f t="shared" si="66"/>
        <v>2.86E-2</v>
      </c>
    </row>
    <row r="87" spans="1:32" ht="18" hidden="1" customHeight="1" x14ac:dyDescent="0.25">
      <c r="A87" s="101">
        <v>3</v>
      </c>
      <c r="B87" s="104" t="s">
        <v>73</v>
      </c>
      <c r="C87" s="75" t="s">
        <v>39</v>
      </c>
      <c r="D87" s="53">
        <f>1661+1</f>
        <v>1662</v>
      </c>
      <c r="E87" s="54">
        <f t="shared" si="67"/>
        <v>3.1572744161054096E-4</v>
      </c>
      <c r="F87" s="165">
        <f>1891+107</f>
        <v>1998</v>
      </c>
      <c r="G87" s="164">
        <f t="shared" si="68"/>
        <v>3.9083520779698634E-4</v>
      </c>
      <c r="H87" s="125">
        <v>1836</v>
      </c>
      <c r="I87" s="54">
        <f t="shared" si="69"/>
        <v>3.3657189063760026E-4</v>
      </c>
      <c r="J87" s="165">
        <v>2407</v>
      </c>
      <c r="K87" s="164">
        <f t="shared" si="70"/>
        <v>4.3073897951547145E-4</v>
      </c>
      <c r="L87" s="329">
        <v>1348</v>
      </c>
      <c r="M87" s="211">
        <f t="shared" si="71"/>
        <v>2.6270125488569768E-4</v>
      </c>
      <c r="N87" s="243">
        <v>2852</v>
      </c>
      <c r="O87" s="244">
        <f t="shared" si="72"/>
        <v>5.3918639193368081E-4</v>
      </c>
      <c r="P87" s="379">
        <v>4441</v>
      </c>
      <c r="Q87" s="244">
        <f t="shared" si="73"/>
        <v>9.1355743089794814E-4</v>
      </c>
      <c r="R87" s="427">
        <v>2566</v>
      </c>
      <c r="S87" s="428">
        <f t="shared" si="74"/>
        <v>4.7626745888666635E-4</v>
      </c>
      <c r="T87" s="558">
        <v>476</v>
      </c>
      <c r="U87" s="505">
        <f t="shared" si="75"/>
        <v>1.0559484058284803E-4</v>
      </c>
      <c r="V87" s="243">
        <v>1000</v>
      </c>
      <c r="W87" s="505">
        <f t="shared" si="76"/>
        <v>1.8867924528301886E-4</v>
      </c>
      <c r="X87" s="427">
        <v>750</v>
      </c>
      <c r="Y87" s="428">
        <f t="shared" si="77"/>
        <v>1.4150943396226416E-4</v>
      </c>
      <c r="Z87" s="520">
        <f t="shared" si="78"/>
        <v>-0.25</v>
      </c>
      <c r="AA87" s="573">
        <f>ROUND(X87*$AH$1,-1)</f>
        <v>770</v>
      </c>
      <c r="AB87" s="505">
        <f t="shared" si="79"/>
        <v>1.3999999999999999E-4</v>
      </c>
      <c r="AC87" s="529">
        <f t="shared" si="65"/>
        <v>2.6700000000000002E-2</v>
      </c>
      <c r="AD87" s="427">
        <f>ROUND(AA87*$AH$1,-1)</f>
        <v>790</v>
      </c>
      <c r="AE87" s="428">
        <f t="shared" si="80"/>
        <v>1.3620689655172413E-4</v>
      </c>
      <c r="AF87" s="520">
        <f t="shared" si="66"/>
        <v>2.5999999999999999E-2</v>
      </c>
    </row>
    <row r="88" spans="1:32" ht="18" hidden="1" customHeight="1" x14ac:dyDescent="0.25">
      <c r="A88" s="103">
        <v>4</v>
      </c>
      <c r="B88" s="104" t="s">
        <v>74</v>
      </c>
      <c r="C88" s="75" t="s">
        <v>237</v>
      </c>
      <c r="D88" s="53">
        <v>2676</v>
      </c>
      <c r="E88" s="54">
        <f t="shared" si="67"/>
        <v>5.0835537530072663E-4</v>
      </c>
      <c r="F88" s="165">
        <v>3154</v>
      </c>
      <c r="G88" s="164">
        <f t="shared" si="68"/>
        <v>6.1696408678263014E-4</v>
      </c>
      <c r="H88" s="125">
        <v>4361</v>
      </c>
      <c r="I88" s="54">
        <f t="shared" si="69"/>
        <v>7.9944989927591213E-4</v>
      </c>
      <c r="J88" s="165">
        <v>3885</v>
      </c>
      <c r="K88" s="164">
        <f t="shared" si="70"/>
        <v>6.9523096610619301E-4</v>
      </c>
      <c r="L88" s="329">
        <v>3170</v>
      </c>
      <c r="M88" s="211">
        <f t="shared" si="71"/>
        <v>6.177766899018261E-4</v>
      </c>
      <c r="N88" s="243">
        <v>4115</v>
      </c>
      <c r="O88" s="244">
        <f t="shared" si="72"/>
        <v>7.7796353534610686E-4</v>
      </c>
      <c r="P88" s="379">
        <v>5568</v>
      </c>
      <c r="Q88" s="244">
        <f t="shared" si="73"/>
        <v>1.1453924285610843E-3</v>
      </c>
      <c r="R88" s="427">
        <v>5068</v>
      </c>
      <c r="S88" s="428">
        <f t="shared" si="74"/>
        <v>9.4065607234513834E-4</v>
      </c>
      <c r="T88" s="558">
        <v>1445</v>
      </c>
      <c r="U88" s="505">
        <f t="shared" si="75"/>
        <v>3.2055576605507434E-4</v>
      </c>
      <c r="V88" s="243">
        <v>3000</v>
      </c>
      <c r="W88" s="505">
        <f t="shared" si="76"/>
        <v>5.6603773584905663E-4</v>
      </c>
      <c r="X88" s="427">
        <v>1500</v>
      </c>
      <c r="Y88" s="428">
        <f t="shared" si="77"/>
        <v>2.8301886792452831E-4</v>
      </c>
      <c r="Z88" s="520">
        <f t="shared" si="78"/>
        <v>-0.5</v>
      </c>
      <c r="AA88" s="573">
        <f>ROUND(X88*$AH$1,-1)</f>
        <v>1540</v>
      </c>
      <c r="AB88" s="505">
        <f t="shared" si="79"/>
        <v>2.7999999999999998E-4</v>
      </c>
      <c r="AC88" s="529">
        <f t="shared" si="65"/>
        <v>2.6700000000000002E-2</v>
      </c>
      <c r="AD88" s="427">
        <f>ROUND(AA88*$AH$1,-1)</f>
        <v>1580</v>
      </c>
      <c r="AE88" s="428">
        <f t="shared" si="80"/>
        <v>2.7241379310344825E-4</v>
      </c>
      <c r="AF88" s="520">
        <f t="shared" si="66"/>
        <v>2.5999999999999999E-2</v>
      </c>
    </row>
    <row r="89" spans="1:32" ht="18" hidden="1" customHeight="1" x14ac:dyDescent="0.25">
      <c r="A89" s="101">
        <v>5</v>
      </c>
      <c r="B89" s="104" t="s">
        <v>75</v>
      </c>
      <c r="C89" s="75" t="s">
        <v>40</v>
      </c>
      <c r="D89" s="53">
        <f>13583+3614</f>
        <v>17197</v>
      </c>
      <c r="E89" s="54">
        <f t="shared" si="67"/>
        <v>3.2668861692999236E-3</v>
      </c>
      <c r="F89" s="165">
        <v>16887</v>
      </c>
      <c r="G89" s="164">
        <f t="shared" si="68"/>
        <v>3.3033203974312856E-3</v>
      </c>
      <c r="H89" s="125">
        <v>18662</v>
      </c>
      <c r="I89" s="54">
        <f t="shared" si="69"/>
        <v>3.421080949389377E-3</v>
      </c>
      <c r="J89" s="165">
        <v>13352</v>
      </c>
      <c r="K89" s="164">
        <f t="shared" si="70"/>
        <v>2.3893755107979122E-3</v>
      </c>
      <c r="L89" s="329">
        <v>12217</v>
      </c>
      <c r="M89" s="211">
        <f t="shared" si="71"/>
        <v>2.3808762840790568E-3</v>
      </c>
      <c r="N89" s="243">
        <v>10752</v>
      </c>
      <c r="O89" s="244">
        <f t="shared" si="72"/>
        <v>2.0327251353684911E-3</v>
      </c>
      <c r="P89" s="379">
        <v>18793</v>
      </c>
      <c r="Q89" s="244">
        <f t="shared" si="73"/>
        <v>3.8659051562407432E-3</v>
      </c>
      <c r="R89" s="427">
        <v>15743</v>
      </c>
      <c r="S89" s="428">
        <f t="shared" si="74"/>
        <v>2.9220103683759891E-3</v>
      </c>
      <c r="T89" s="558">
        <v>0</v>
      </c>
      <c r="U89" s="505">
        <f t="shared" si="75"/>
        <v>0</v>
      </c>
      <c r="V89" s="243">
        <v>0</v>
      </c>
      <c r="W89" s="505">
        <f t="shared" si="76"/>
        <v>0</v>
      </c>
      <c r="X89" s="427">
        <v>0</v>
      </c>
      <c r="Y89" s="428">
        <f t="shared" si="77"/>
        <v>0</v>
      </c>
      <c r="Z89" s="520" t="e">
        <f t="shared" si="78"/>
        <v>#DIV/0!</v>
      </c>
      <c r="AA89" s="379">
        <v>0</v>
      </c>
      <c r="AB89" s="505">
        <f t="shared" si="79"/>
        <v>0</v>
      </c>
      <c r="AC89" s="529" t="e">
        <f t="shared" si="65"/>
        <v>#DIV/0!</v>
      </c>
      <c r="AD89" s="427">
        <v>0</v>
      </c>
      <c r="AE89" s="428">
        <f t="shared" si="80"/>
        <v>0</v>
      </c>
      <c r="AF89" s="520" t="e">
        <f t="shared" si="66"/>
        <v>#DIV/0!</v>
      </c>
    </row>
    <row r="90" spans="1:32" ht="18" hidden="1" customHeight="1" x14ac:dyDescent="0.25">
      <c r="A90" s="103">
        <v>6</v>
      </c>
      <c r="B90" s="104" t="s">
        <v>76</v>
      </c>
      <c r="C90" s="75" t="s">
        <v>384</v>
      </c>
      <c r="D90" s="53">
        <v>4231</v>
      </c>
      <c r="E90" s="54">
        <f t="shared" si="67"/>
        <v>8.0375620063429529E-4</v>
      </c>
      <c r="F90" s="165">
        <v>3089</v>
      </c>
      <c r="G90" s="164">
        <f t="shared" si="68"/>
        <v>6.0424922767011557E-4</v>
      </c>
      <c r="H90" s="125">
        <v>4704</v>
      </c>
      <c r="I90" s="54">
        <f t="shared" si="69"/>
        <v>8.6232798124143335E-4</v>
      </c>
      <c r="J90" s="165">
        <v>5149</v>
      </c>
      <c r="K90" s="164">
        <f t="shared" si="70"/>
        <v>9.2142708995644469E-4</v>
      </c>
      <c r="L90" s="329">
        <v>5256</v>
      </c>
      <c r="M90" s="211">
        <f t="shared" si="71"/>
        <v>1.0243010353703464E-3</v>
      </c>
      <c r="N90" s="243">
        <v>5157</v>
      </c>
      <c r="O90" s="244">
        <f t="shared" si="72"/>
        <v>9.7495940504978686E-4</v>
      </c>
      <c r="P90" s="379">
        <v>4779</v>
      </c>
      <c r="Q90" s="244">
        <f t="shared" si="73"/>
        <v>9.8308735921218073E-4</v>
      </c>
      <c r="R90" s="427">
        <v>2430</v>
      </c>
      <c r="S90" s="428">
        <f t="shared" si="74"/>
        <v>4.510249123517534E-4</v>
      </c>
      <c r="T90" s="558">
        <v>0</v>
      </c>
      <c r="U90" s="505">
        <f t="shared" si="75"/>
        <v>0</v>
      </c>
      <c r="V90" s="243">
        <v>1500</v>
      </c>
      <c r="W90" s="505">
        <f t="shared" si="76"/>
        <v>2.8301886792452831E-4</v>
      </c>
      <c r="X90" s="427">
        <v>1500</v>
      </c>
      <c r="Y90" s="428">
        <f t="shared" si="77"/>
        <v>2.8301886792452831E-4</v>
      </c>
      <c r="Z90" s="520">
        <f t="shared" si="78"/>
        <v>0</v>
      </c>
      <c r="AA90" s="379">
        <v>1700</v>
      </c>
      <c r="AB90" s="505">
        <f t="shared" si="79"/>
        <v>3.0909090909090909E-4</v>
      </c>
      <c r="AC90" s="529">
        <f t="shared" si="65"/>
        <v>0.1333</v>
      </c>
      <c r="AD90" s="427">
        <v>2000</v>
      </c>
      <c r="AE90" s="428">
        <f t="shared" si="80"/>
        <v>3.4482758620689653E-4</v>
      </c>
      <c r="AF90" s="520">
        <f t="shared" si="66"/>
        <v>0.17649999999999999</v>
      </c>
    </row>
    <row r="91" spans="1:32" ht="18" hidden="1" customHeight="1" x14ac:dyDescent="0.25">
      <c r="A91" s="101">
        <v>7</v>
      </c>
      <c r="B91" s="104" t="s">
        <v>77</v>
      </c>
      <c r="C91" s="75" t="s">
        <v>220</v>
      </c>
      <c r="D91" s="53">
        <v>2162</v>
      </c>
      <c r="E91" s="54">
        <f t="shared" si="67"/>
        <v>4.1071162982069166E-4</v>
      </c>
      <c r="F91" s="165">
        <v>2131</v>
      </c>
      <c r="G91" s="164">
        <f t="shared" si="68"/>
        <v>4.1685176567336232E-4</v>
      </c>
      <c r="H91" s="125">
        <v>2052</v>
      </c>
      <c r="I91" s="54">
        <f t="shared" si="69"/>
        <v>3.7616858365378852E-4</v>
      </c>
      <c r="J91" s="165">
        <v>1975</v>
      </c>
      <c r="K91" s="164">
        <f t="shared" si="70"/>
        <v>3.5343144351601832E-4</v>
      </c>
      <c r="L91" s="329">
        <v>1979</v>
      </c>
      <c r="M91" s="211">
        <f t="shared" si="71"/>
        <v>3.8567194615637664E-4</v>
      </c>
      <c r="N91" s="243">
        <v>4057</v>
      </c>
      <c r="O91" s="244">
        <f t="shared" si="72"/>
        <v>7.6699831419177532E-4</v>
      </c>
      <c r="P91" s="379">
        <v>3986</v>
      </c>
      <c r="Q91" s="244">
        <f t="shared" si="73"/>
        <v>8.1995945047494293E-4</v>
      </c>
      <c r="R91" s="427">
        <v>4032</v>
      </c>
      <c r="S91" s="428">
        <f t="shared" si="74"/>
        <v>7.4836726197624267E-4</v>
      </c>
      <c r="T91" s="558">
        <v>3024</v>
      </c>
      <c r="U91" s="505">
        <f t="shared" si="75"/>
        <v>6.7083781076162274E-4</v>
      </c>
      <c r="V91" s="243">
        <v>4000</v>
      </c>
      <c r="W91" s="505">
        <f t="shared" si="76"/>
        <v>7.5471698113207543E-4</v>
      </c>
      <c r="X91" s="427">
        <f t="shared" ref="X91" si="81">V91*$AH$1</f>
        <v>4100</v>
      </c>
      <c r="Y91" s="428">
        <f t="shared" si="77"/>
        <v>7.7358490566037733E-4</v>
      </c>
      <c r="Z91" s="520">
        <f t="shared" si="78"/>
        <v>2.5000000000000001E-2</v>
      </c>
      <c r="AA91" s="573">
        <f>ROUND(X91*$AH$1,-1)</f>
        <v>4200</v>
      </c>
      <c r="AB91" s="505">
        <f t="shared" si="79"/>
        <v>7.6363636363636369E-4</v>
      </c>
      <c r="AC91" s="529">
        <f t="shared" si="65"/>
        <v>2.4400000000000002E-2</v>
      </c>
      <c r="AD91" s="427">
        <f t="shared" ref="AD91:AD93" si="82">ROUND(AA91*$AH$1,-1)</f>
        <v>4310</v>
      </c>
      <c r="AE91" s="428">
        <f t="shared" si="80"/>
        <v>7.4310344827586202E-4</v>
      </c>
      <c r="AF91" s="520">
        <f t="shared" si="66"/>
        <v>2.6200000000000001E-2</v>
      </c>
    </row>
    <row r="92" spans="1:32" ht="18" hidden="1" customHeight="1" x14ac:dyDescent="0.25">
      <c r="A92" s="103">
        <v>8</v>
      </c>
      <c r="B92" s="104" t="s">
        <v>78</v>
      </c>
      <c r="C92" s="75" t="s">
        <v>222</v>
      </c>
      <c r="D92" s="53">
        <v>490</v>
      </c>
      <c r="E92" s="54">
        <f t="shared" si="67"/>
        <v>9.3084504445947692E-5</v>
      </c>
      <c r="F92" s="165">
        <v>525</v>
      </c>
      <c r="G92" s="164">
        <f t="shared" si="68"/>
        <v>1.0269693898569461E-4</v>
      </c>
      <c r="H92" s="125">
        <v>236</v>
      </c>
      <c r="I92" s="54">
        <f t="shared" si="69"/>
        <v>4.3263053480650141E-5</v>
      </c>
      <c r="J92" s="165">
        <v>235</v>
      </c>
      <c r="K92" s="164">
        <f t="shared" si="70"/>
        <v>4.2053867962665471E-5</v>
      </c>
      <c r="L92" s="329">
        <v>425</v>
      </c>
      <c r="M92" s="211">
        <f t="shared" si="71"/>
        <v>8.2824950538888355E-5</v>
      </c>
      <c r="N92" s="243">
        <v>198</v>
      </c>
      <c r="O92" s="244">
        <f t="shared" si="72"/>
        <v>3.7432996354442077E-5</v>
      </c>
      <c r="P92" s="379">
        <v>189</v>
      </c>
      <c r="Q92" s="244">
        <f t="shared" si="73"/>
        <v>3.8879161098786809E-5</v>
      </c>
      <c r="R92" s="427">
        <v>158</v>
      </c>
      <c r="S92" s="428">
        <f t="shared" si="74"/>
        <v>2.9325899650854747E-5</v>
      </c>
      <c r="T92" s="558">
        <v>313</v>
      </c>
      <c r="U92" s="505">
        <f t="shared" si="75"/>
        <v>6.9435262820234097E-5</v>
      </c>
      <c r="V92" s="243">
        <v>400</v>
      </c>
      <c r="W92" s="505">
        <f t="shared" si="76"/>
        <v>7.5471698113207552E-5</v>
      </c>
      <c r="X92" s="427">
        <v>400</v>
      </c>
      <c r="Y92" s="428">
        <f t="shared" si="77"/>
        <v>7.5471698113207552E-5</v>
      </c>
      <c r="Z92" s="520">
        <f t="shared" si="78"/>
        <v>0</v>
      </c>
      <c r="AA92" s="573">
        <f>ROUND(X92*$AH$1,-1)</f>
        <v>410</v>
      </c>
      <c r="AB92" s="505">
        <f t="shared" si="79"/>
        <v>7.4545454545454551E-5</v>
      </c>
      <c r="AC92" s="529">
        <f t="shared" si="65"/>
        <v>2.5000000000000001E-2</v>
      </c>
      <c r="AD92" s="427">
        <f t="shared" si="82"/>
        <v>420</v>
      </c>
      <c r="AE92" s="428">
        <f t="shared" si="80"/>
        <v>7.2413793103448271E-5</v>
      </c>
      <c r="AF92" s="520">
        <f t="shared" si="66"/>
        <v>2.4400000000000002E-2</v>
      </c>
    </row>
    <row r="93" spans="1:32" ht="18" hidden="1" customHeight="1" x14ac:dyDescent="0.25">
      <c r="A93" s="101">
        <v>9</v>
      </c>
      <c r="B93" s="104" t="s">
        <v>79</v>
      </c>
      <c r="C93" s="75" t="s">
        <v>223</v>
      </c>
      <c r="D93" s="53">
        <v>8447</v>
      </c>
      <c r="E93" s="54">
        <f t="shared" si="67"/>
        <v>1.604662875622286E-3</v>
      </c>
      <c r="F93" s="165">
        <v>7787</v>
      </c>
      <c r="G93" s="164">
        <f t="shared" si="68"/>
        <v>1.5232401216792456E-3</v>
      </c>
      <c r="H93" s="125">
        <v>6440</v>
      </c>
      <c r="I93" s="54">
        <f t="shared" si="69"/>
        <v>1.1805680695567242E-3</v>
      </c>
      <c r="J93" s="165">
        <v>8287</v>
      </c>
      <c r="K93" s="164">
        <f t="shared" si="70"/>
        <v>1.4829804417302501E-3</v>
      </c>
      <c r="L93" s="329">
        <v>7267</v>
      </c>
      <c r="M93" s="211">
        <f t="shared" si="71"/>
        <v>1.4162092130967099E-3</v>
      </c>
      <c r="N93" s="243">
        <v>7846</v>
      </c>
      <c r="O93" s="244">
        <f t="shared" si="72"/>
        <v>1.4833297444290532E-3</v>
      </c>
      <c r="P93" s="379">
        <v>8204</v>
      </c>
      <c r="Q93" s="244">
        <f t="shared" si="73"/>
        <v>1.6876435854732642E-3</v>
      </c>
      <c r="R93" s="427">
        <v>4030</v>
      </c>
      <c r="S93" s="428">
        <f t="shared" si="74"/>
        <v>7.4799604805661165E-4</v>
      </c>
      <c r="T93" s="558">
        <v>2378</v>
      </c>
      <c r="U93" s="505">
        <f t="shared" si="75"/>
        <v>5.2753052711347181E-4</v>
      </c>
      <c r="V93" s="243">
        <v>3750</v>
      </c>
      <c r="W93" s="505">
        <f t="shared" si="76"/>
        <v>7.0754716981132071E-4</v>
      </c>
      <c r="X93" s="427">
        <v>4000</v>
      </c>
      <c r="Y93" s="428">
        <f t="shared" si="77"/>
        <v>7.5471698113207543E-4</v>
      </c>
      <c r="Z93" s="520">
        <f t="shared" si="78"/>
        <v>6.6699999999999995E-2</v>
      </c>
      <c r="AA93" s="573">
        <f>ROUND(X93*$AH$1,-1)</f>
        <v>4100</v>
      </c>
      <c r="AB93" s="505">
        <f t="shared" si="79"/>
        <v>7.4545454545454546E-4</v>
      </c>
      <c r="AC93" s="529">
        <f t="shared" si="65"/>
        <v>2.5000000000000001E-2</v>
      </c>
      <c r="AD93" s="427">
        <f t="shared" si="82"/>
        <v>4200</v>
      </c>
      <c r="AE93" s="428">
        <f t="shared" si="80"/>
        <v>7.2413793103448271E-4</v>
      </c>
      <c r="AF93" s="520">
        <f t="shared" si="66"/>
        <v>2.4400000000000002E-2</v>
      </c>
    </row>
    <row r="94" spans="1:32" ht="18" hidden="1" customHeight="1" x14ac:dyDescent="0.25">
      <c r="A94" s="103">
        <v>10</v>
      </c>
      <c r="B94" s="104" t="s">
        <v>80</v>
      </c>
      <c r="C94" s="75" t="s">
        <v>224</v>
      </c>
      <c r="D94" s="53">
        <v>17893</v>
      </c>
      <c r="E94" s="54">
        <f t="shared" si="67"/>
        <v>3.3991041592884531E-3</v>
      </c>
      <c r="F94" s="165">
        <v>13135</v>
      </c>
      <c r="G94" s="164">
        <f t="shared" si="68"/>
        <v>2.5693796068135214E-3</v>
      </c>
      <c r="H94" s="125">
        <v>8013</v>
      </c>
      <c r="I94" s="54">
        <f t="shared" si="69"/>
        <v>1.4689273200866508E-3</v>
      </c>
      <c r="J94" s="165">
        <v>10680</v>
      </c>
      <c r="K94" s="164">
        <f t="shared" si="70"/>
        <v>1.9112140844309243E-3</v>
      </c>
      <c r="L94" s="329">
        <v>18656</v>
      </c>
      <c r="M94" s="211">
        <f t="shared" si="71"/>
        <v>3.6357230053023558E-3</v>
      </c>
      <c r="N94" s="243">
        <v>26177</v>
      </c>
      <c r="O94" s="244">
        <f t="shared" si="72"/>
        <v>4.9489067958092435E-3</v>
      </c>
      <c r="P94" s="379">
        <v>28099</v>
      </c>
      <c r="Q94" s="244">
        <f t="shared" si="73"/>
        <v>5.780240993200055E-3</v>
      </c>
      <c r="R94" s="427">
        <v>29405</v>
      </c>
      <c r="S94" s="428">
        <f t="shared" si="74"/>
        <v>5.457772653375847E-3</v>
      </c>
      <c r="T94" s="558">
        <v>26507</v>
      </c>
      <c r="U94" s="505">
        <f t="shared" si="75"/>
        <v>5.8802572254822534E-3</v>
      </c>
      <c r="V94" s="243">
        <v>35365</v>
      </c>
      <c r="W94" s="505">
        <f t="shared" si="76"/>
        <v>6.672641509433962E-3</v>
      </c>
      <c r="X94" s="427">
        <v>35760</v>
      </c>
      <c r="Y94" s="428">
        <f t="shared" si="77"/>
        <v>6.7471698113207544E-3</v>
      </c>
      <c r="Z94" s="520">
        <f t="shared" si="78"/>
        <v>1.12E-2</v>
      </c>
      <c r="AA94" s="379">
        <v>37060</v>
      </c>
      <c r="AB94" s="505">
        <f t="shared" si="79"/>
        <v>6.7381818181818185E-3</v>
      </c>
      <c r="AC94" s="529">
        <f t="shared" si="65"/>
        <v>3.6400000000000002E-2</v>
      </c>
      <c r="AD94" s="427">
        <v>40670</v>
      </c>
      <c r="AE94" s="428">
        <f t="shared" si="80"/>
        <v>7.0120689655172415E-3</v>
      </c>
      <c r="AF94" s="520">
        <f t="shared" si="66"/>
        <v>9.74E-2</v>
      </c>
    </row>
    <row r="95" spans="1:32" ht="18" hidden="1" customHeight="1" x14ac:dyDescent="0.25">
      <c r="A95" s="101">
        <v>11</v>
      </c>
      <c r="B95" s="104" t="s">
        <v>81</v>
      </c>
      <c r="C95" s="75" t="s">
        <v>5</v>
      </c>
      <c r="D95" s="53">
        <v>18740</v>
      </c>
      <c r="E95" s="54">
        <f t="shared" si="67"/>
        <v>3.5600073741164483E-3</v>
      </c>
      <c r="F95" s="165">
        <v>19589</v>
      </c>
      <c r="G95" s="164">
        <f t="shared" si="68"/>
        <v>3.8318673100776602E-3</v>
      </c>
      <c r="H95" s="125">
        <v>19867</v>
      </c>
      <c r="I95" s="54">
        <f t="shared" si="69"/>
        <v>3.6419791673732048E-3</v>
      </c>
      <c r="J95" s="165">
        <v>23577</v>
      </c>
      <c r="K95" s="164">
        <f t="shared" si="70"/>
        <v>4.2191661487479314E-3</v>
      </c>
      <c r="L95" s="329">
        <v>24227</v>
      </c>
      <c r="M95" s="211">
        <f t="shared" si="71"/>
        <v>4.7214119451897607E-3</v>
      </c>
      <c r="N95" s="243">
        <v>24969</v>
      </c>
      <c r="O95" s="244">
        <f t="shared" si="72"/>
        <v>4.7205277069397181E-3</v>
      </c>
      <c r="P95" s="379">
        <v>25666</v>
      </c>
      <c r="Q95" s="244">
        <f t="shared" si="73"/>
        <v>5.2797489352458312E-3</v>
      </c>
      <c r="R95" s="427">
        <v>24264</v>
      </c>
      <c r="S95" s="428">
        <f t="shared" si="74"/>
        <v>4.5035672729641747E-3</v>
      </c>
      <c r="T95" s="558">
        <v>18425</v>
      </c>
      <c r="U95" s="505">
        <f t="shared" si="75"/>
        <v>4.0873633145776782E-3</v>
      </c>
      <c r="V95" s="243">
        <v>24985</v>
      </c>
      <c r="W95" s="505">
        <f t="shared" si="76"/>
        <v>4.714150943396226E-3</v>
      </c>
      <c r="X95" s="427">
        <v>25785</v>
      </c>
      <c r="Y95" s="428">
        <f t="shared" si="77"/>
        <v>4.8650943396226411E-3</v>
      </c>
      <c r="Z95" s="520">
        <f t="shared" si="78"/>
        <v>3.2000000000000001E-2</v>
      </c>
      <c r="AA95" s="379">
        <v>25985</v>
      </c>
      <c r="AB95" s="505">
        <f t="shared" si="79"/>
        <v>4.7245454545454544E-3</v>
      </c>
      <c r="AC95" s="529">
        <f t="shared" si="65"/>
        <v>7.7999999999999996E-3</v>
      </c>
      <c r="AD95" s="427">
        <v>27150</v>
      </c>
      <c r="AE95" s="428">
        <f t="shared" si="80"/>
        <v>4.681034482758621E-3</v>
      </c>
      <c r="AF95" s="520">
        <f t="shared" si="66"/>
        <v>4.48E-2</v>
      </c>
    </row>
    <row r="96" spans="1:32" ht="18" hidden="1" customHeight="1" x14ac:dyDescent="0.25">
      <c r="A96" s="103">
        <v>12</v>
      </c>
      <c r="B96" s="104" t="s">
        <v>82</v>
      </c>
      <c r="C96" s="76" t="s">
        <v>225</v>
      </c>
      <c r="D96" s="55">
        <v>13535</v>
      </c>
      <c r="E96" s="56">
        <f t="shared" si="67"/>
        <v>2.5712219748487797E-3</v>
      </c>
      <c r="F96" s="166">
        <v>16919</v>
      </c>
      <c r="G96" s="167">
        <f t="shared" si="68"/>
        <v>3.3095800203789849E-3</v>
      </c>
      <c r="H96" s="126">
        <v>17351</v>
      </c>
      <c r="I96" s="56">
        <f t="shared" si="69"/>
        <v>3.180751020943901E-3</v>
      </c>
      <c r="J96" s="166">
        <v>23436</v>
      </c>
      <c r="K96" s="167">
        <f t="shared" si="70"/>
        <v>4.1939338279703316E-3</v>
      </c>
      <c r="L96" s="331">
        <v>24017</v>
      </c>
      <c r="M96" s="212">
        <f t="shared" si="71"/>
        <v>4.6804866755117214E-3</v>
      </c>
      <c r="N96" s="246">
        <v>24560</v>
      </c>
      <c r="O96" s="247">
        <f t="shared" si="72"/>
        <v>4.6432039922479663E-3</v>
      </c>
      <c r="P96" s="381">
        <v>25124</v>
      </c>
      <c r="Q96" s="247">
        <f t="shared" si="73"/>
        <v>5.1682541981265592E-3</v>
      </c>
      <c r="R96" s="430">
        <v>27361</v>
      </c>
      <c r="S96" s="431">
        <f t="shared" si="74"/>
        <v>5.0783920275128906E-3</v>
      </c>
      <c r="T96" s="559">
        <v>22183</v>
      </c>
      <c r="U96" s="506">
        <f t="shared" si="75"/>
        <v>4.9210301442212554E-3</v>
      </c>
      <c r="V96" s="246">
        <v>29580</v>
      </c>
      <c r="W96" s="506">
        <f t="shared" si="76"/>
        <v>5.5811320754716983E-3</v>
      </c>
      <c r="X96" s="430">
        <v>34665</v>
      </c>
      <c r="Y96" s="431">
        <f t="shared" si="77"/>
        <v>6.5405660377358494E-3</v>
      </c>
      <c r="Z96" s="521">
        <f t="shared" si="78"/>
        <v>0.1719</v>
      </c>
      <c r="AA96" s="381">
        <v>36475</v>
      </c>
      <c r="AB96" s="506">
        <f t="shared" si="79"/>
        <v>6.6318181818181814E-3</v>
      </c>
      <c r="AC96" s="529">
        <f t="shared" si="65"/>
        <v>5.2200000000000003E-2</v>
      </c>
      <c r="AD96" s="430">
        <v>38300</v>
      </c>
      <c r="AE96" s="431">
        <f t="shared" si="80"/>
        <v>6.6034482758620689E-3</v>
      </c>
      <c r="AF96" s="520">
        <f t="shared" si="66"/>
        <v>0.05</v>
      </c>
    </row>
    <row r="97" spans="1:32" ht="18" hidden="1" customHeight="1" thickBot="1" x14ac:dyDescent="0.3">
      <c r="A97" s="97"/>
      <c r="B97" s="98"/>
      <c r="C97" s="82" t="s">
        <v>226</v>
      </c>
      <c r="D97" s="37">
        <f>SUM(D85:D96)</f>
        <v>413400</v>
      </c>
      <c r="E97" s="38">
        <f t="shared" si="67"/>
        <v>7.8532926812152598E-2</v>
      </c>
      <c r="F97" s="179">
        <f>SUM(F85:F96)</f>
        <v>431658</v>
      </c>
      <c r="G97" s="180">
        <f t="shared" si="68"/>
        <v>8.4438010073689451E-2</v>
      </c>
      <c r="H97" s="133">
        <f>SUM(H85:H96)</f>
        <v>438290</v>
      </c>
      <c r="I97" s="38">
        <f t="shared" si="69"/>
        <v>8.0346456398449784E-2</v>
      </c>
      <c r="J97" s="179">
        <f>SUM(J85:J96)</f>
        <v>485383</v>
      </c>
      <c r="K97" s="180">
        <f t="shared" si="70"/>
        <v>8.6860564226904066E-2</v>
      </c>
      <c r="L97" s="339">
        <f>SUM(L85:L96)</f>
        <v>486603</v>
      </c>
      <c r="M97" s="219">
        <f t="shared" si="71"/>
        <v>9.483028095782281E-2</v>
      </c>
      <c r="N97" s="263">
        <f>SUM(N85:N96)</f>
        <v>525056</v>
      </c>
      <c r="O97" s="264">
        <f t="shared" si="72"/>
        <v>9.9264744110494643E-2</v>
      </c>
      <c r="P97" s="395">
        <f>SUM(P85:P96)</f>
        <v>569318</v>
      </c>
      <c r="Q97" s="264">
        <f t="shared" si="73"/>
        <v>0.11711431872190003</v>
      </c>
      <c r="R97" s="447">
        <f>SUM(R85:R96)</f>
        <v>537466</v>
      </c>
      <c r="S97" s="448">
        <f t="shared" si="74"/>
        <v>9.9757430264217073E-2</v>
      </c>
      <c r="T97" s="395">
        <f>SUM(T85:T96)</f>
        <v>392776</v>
      </c>
      <c r="U97" s="514">
        <f t="shared" si="75"/>
        <v>8.7132603161278813E-2</v>
      </c>
      <c r="V97" s="263">
        <f>SUM(V85:V96)</f>
        <v>536330</v>
      </c>
      <c r="W97" s="514">
        <f t="shared" si="76"/>
        <v>0.10119433962264152</v>
      </c>
      <c r="X97" s="447">
        <f>SUM(X85:X96)</f>
        <v>548515</v>
      </c>
      <c r="Y97" s="448">
        <f t="shared" si="77"/>
        <v>0.1034933962264151</v>
      </c>
      <c r="Z97" s="524">
        <f t="shared" si="78"/>
        <v>2.2700000000000001E-2</v>
      </c>
      <c r="AA97" s="395">
        <f>SUM(AA85:AA96)</f>
        <v>556915</v>
      </c>
      <c r="AB97" s="514">
        <f t="shared" si="79"/>
        <v>0.10125727272727272</v>
      </c>
      <c r="AC97" s="533">
        <f t="shared" si="65"/>
        <v>1.5299999999999999E-2</v>
      </c>
      <c r="AD97" s="447">
        <f>SUM(AD85:AD96)</f>
        <v>582290</v>
      </c>
      <c r="AE97" s="448">
        <f t="shared" si="80"/>
        <v>0.10039482758620689</v>
      </c>
      <c r="AF97" s="524">
        <f t="shared" si="66"/>
        <v>4.5600000000000002E-2</v>
      </c>
    </row>
    <row r="98" spans="1:32" ht="18" hidden="1" customHeight="1" thickTop="1" x14ac:dyDescent="0.25">
      <c r="A98" s="97"/>
      <c r="B98" s="98"/>
      <c r="C98" s="78"/>
      <c r="D98" s="30"/>
      <c r="E98" s="29"/>
      <c r="F98" s="181"/>
      <c r="G98" s="160"/>
      <c r="H98" s="134"/>
      <c r="I98" s="29"/>
      <c r="J98" s="181"/>
      <c r="K98" s="160"/>
      <c r="L98" s="340"/>
      <c r="M98" s="209"/>
      <c r="N98" s="265"/>
      <c r="O98" s="242"/>
      <c r="P98" s="396"/>
      <c r="Q98" s="242"/>
      <c r="R98" s="449"/>
      <c r="S98" s="426"/>
      <c r="T98" s="396"/>
      <c r="U98" s="504"/>
      <c r="V98" s="265"/>
      <c r="W98" s="504"/>
      <c r="X98" s="449"/>
      <c r="Y98" s="426"/>
      <c r="Z98" s="426"/>
      <c r="AA98" s="396"/>
      <c r="AB98" s="504"/>
      <c r="AC98" s="530"/>
      <c r="AD98" s="449"/>
      <c r="AE98" s="426"/>
      <c r="AF98" s="523"/>
    </row>
    <row r="99" spans="1:32" ht="18" hidden="1" customHeight="1" x14ac:dyDescent="0.25">
      <c r="A99" s="97"/>
      <c r="B99" s="98"/>
      <c r="C99" s="73" t="s">
        <v>36</v>
      </c>
      <c r="D99" s="28"/>
      <c r="E99" s="29"/>
      <c r="F99" s="159" t="s">
        <v>198</v>
      </c>
      <c r="G99" s="160"/>
      <c r="H99" s="122"/>
      <c r="I99" s="29"/>
      <c r="J99" s="159"/>
      <c r="K99" s="160"/>
      <c r="L99" s="328"/>
      <c r="M99" s="209"/>
      <c r="N99" s="241"/>
      <c r="O99" s="242"/>
      <c r="P99" s="378"/>
      <c r="Q99" s="242"/>
      <c r="R99" s="425"/>
      <c r="S99" s="426"/>
      <c r="T99" s="378"/>
      <c r="U99" s="504"/>
      <c r="V99" s="241"/>
      <c r="W99" s="504"/>
      <c r="X99" s="425"/>
      <c r="Y99" s="426"/>
      <c r="Z99" s="426"/>
      <c r="AA99" s="378"/>
      <c r="AB99" s="504"/>
      <c r="AC99" s="532"/>
      <c r="AD99" s="425"/>
      <c r="AE99" s="426"/>
      <c r="AF99" s="528"/>
    </row>
    <row r="100" spans="1:32" s="3" customFormat="1" ht="18" hidden="1" customHeight="1" x14ac:dyDescent="0.25">
      <c r="A100" s="99"/>
      <c r="B100" s="100"/>
      <c r="C100" s="105" t="s">
        <v>214</v>
      </c>
      <c r="D100" s="106">
        <v>5.85</v>
      </c>
      <c r="E100" s="108"/>
      <c r="F100" s="177">
        <v>4.8499999999999996</v>
      </c>
      <c r="G100" s="182"/>
      <c r="H100" s="132">
        <v>4.8499999999999996</v>
      </c>
      <c r="I100" s="108"/>
      <c r="J100" s="177">
        <v>4.8499999999999996</v>
      </c>
      <c r="K100" s="182"/>
      <c r="L100" s="338">
        <v>4.8499999999999996</v>
      </c>
      <c r="M100" s="220"/>
      <c r="N100" s="261">
        <v>6</v>
      </c>
      <c r="O100" s="266"/>
      <c r="P100" s="394">
        <v>6</v>
      </c>
      <c r="Q100" s="266"/>
      <c r="R100" s="445">
        <v>6</v>
      </c>
      <c r="S100" s="450"/>
      <c r="T100" s="394">
        <v>6</v>
      </c>
      <c r="U100" s="515"/>
      <c r="V100" s="261">
        <v>6</v>
      </c>
      <c r="W100" s="515"/>
      <c r="X100" s="445">
        <v>5.8</v>
      </c>
      <c r="Y100" s="450"/>
      <c r="Z100" s="450"/>
      <c r="AA100" s="394">
        <v>5.8</v>
      </c>
      <c r="AB100" s="515"/>
      <c r="AC100" s="529">
        <f t="shared" si="65"/>
        <v>0</v>
      </c>
      <c r="AD100" s="445">
        <v>5.8</v>
      </c>
      <c r="AE100" s="450"/>
      <c r="AF100" s="520">
        <f t="shared" si="66"/>
        <v>0</v>
      </c>
    </row>
    <row r="101" spans="1:32" ht="18" hidden="1" customHeight="1" x14ac:dyDescent="0.25">
      <c r="A101" s="101">
        <v>1</v>
      </c>
      <c r="B101" s="102" t="s">
        <v>48</v>
      </c>
      <c r="C101" s="74" t="s">
        <v>215</v>
      </c>
      <c r="D101" s="51">
        <v>283090</v>
      </c>
      <c r="E101" s="52">
        <f t="shared" ref="E101:E108" si="83">D101/D$12</f>
        <v>5.3778147680823125E-2</v>
      </c>
      <c r="F101" s="161">
        <v>251885</v>
      </c>
      <c r="G101" s="162">
        <f t="shared" ref="G101:G108" si="84">F101/F$12</f>
        <v>4.9272035193165115E-2</v>
      </c>
      <c r="H101" s="123">
        <v>262302</v>
      </c>
      <c r="I101" s="52">
        <f t="shared" ref="I101:I108" si="85">H101/H$12</f>
        <v>4.8084684127463952E-2</v>
      </c>
      <c r="J101" s="161">
        <v>280427</v>
      </c>
      <c r="K101" s="162">
        <f t="shared" ref="K101:K108" si="86">J101/J$12</f>
        <v>5.0183149068793148E-2</v>
      </c>
      <c r="L101" s="336">
        <v>283423</v>
      </c>
      <c r="M101" s="210">
        <f t="shared" ref="M101:M108" si="87">L101/L$12</f>
        <v>5.5234108133137311E-2</v>
      </c>
      <c r="N101" s="255">
        <v>310292</v>
      </c>
      <c r="O101" s="256">
        <f t="shared" ref="O101:O113" si="88">N101/N$12</f>
        <v>5.8662420731376473E-2</v>
      </c>
      <c r="P101" s="387">
        <v>311037</v>
      </c>
      <c r="Q101" s="256">
        <f t="shared" ref="Q101:Q113" si="89">P101/P$12</f>
        <v>6.3983373707319324E-2</v>
      </c>
      <c r="R101" s="439">
        <v>293935</v>
      </c>
      <c r="S101" s="440">
        <f t="shared" ref="S101:S113" si="90">R101/R$12</f>
        <v>5.4556381733379684E-2</v>
      </c>
      <c r="T101" s="563">
        <v>222112</v>
      </c>
      <c r="U101" s="510">
        <f t="shared" ref="U101:U113" si="91">T101/T$12</f>
        <v>4.9272859730120883E-2</v>
      </c>
      <c r="V101" s="255">
        <v>298795</v>
      </c>
      <c r="W101" s="510">
        <f t="shared" ref="W101:W113" si="92">V101/V$12</f>
        <v>5.6376415094339626E-2</v>
      </c>
      <c r="X101" s="427">
        <v>299405</v>
      </c>
      <c r="Y101" s="440">
        <f t="shared" ref="Y101:Y113" si="93">X101/X$12</f>
        <v>5.6491509433962264E-2</v>
      </c>
      <c r="Z101" s="519">
        <f t="shared" ref="Z101:Z113" si="94">ROUND((X101-V101)/V101,4)</f>
        <v>2E-3</v>
      </c>
      <c r="AA101" s="379">
        <v>301685</v>
      </c>
      <c r="AB101" s="510">
        <f t="shared" ref="AB101:AB113" si="95">AA101/AA$12</f>
        <v>5.4851818181818182E-2</v>
      </c>
      <c r="AC101" s="529">
        <f t="shared" si="65"/>
        <v>7.6E-3</v>
      </c>
      <c r="AD101" s="427">
        <v>309435</v>
      </c>
      <c r="AE101" s="440">
        <f t="shared" ref="AE101:AE113" si="96">AD101/AD$12</f>
        <v>5.335086206896552E-2</v>
      </c>
      <c r="AF101" s="520">
        <f t="shared" si="66"/>
        <v>2.5700000000000001E-2</v>
      </c>
    </row>
    <row r="102" spans="1:32" ht="18" hidden="1" customHeight="1" x14ac:dyDescent="0.25">
      <c r="A102" s="103">
        <v>2</v>
      </c>
      <c r="B102" s="104" t="s">
        <v>49</v>
      </c>
      <c r="C102" s="75" t="s">
        <v>216</v>
      </c>
      <c r="D102" s="53">
        <v>0</v>
      </c>
      <c r="E102" s="54">
        <f t="shared" si="83"/>
        <v>0</v>
      </c>
      <c r="F102" s="165">
        <v>0</v>
      </c>
      <c r="G102" s="164">
        <f t="shared" si="84"/>
        <v>0</v>
      </c>
      <c r="H102" s="125">
        <v>0</v>
      </c>
      <c r="I102" s="54">
        <f t="shared" si="85"/>
        <v>0</v>
      </c>
      <c r="J102" s="165">
        <v>702</v>
      </c>
      <c r="K102" s="164">
        <f t="shared" si="86"/>
        <v>1.2562474599911132E-4</v>
      </c>
      <c r="L102" s="329">
        <v>530</v>
      </c>
      <c r="M102" s="211">
        <f t="shared" si="87"/>
        <v>1.0328758537790784E-4</v>
      </c>
      <c r="N102" s="243">
        <v>0</v>
      </c>
      <c r="O102" s="244">
        <f t="shared" si="88"/>
        <v>0</v>
      </c>
      <c r="P102" s="379">
        <v>0</v>
      </c>
      <c r="Q102" s="244">
        <f t="shared" si="89"/>
        <v>0</v>
      </c>
      <c r="R102" s="427">
        <v>0</v>
      </c>
      <c r="S102" s="428">
        <f t="shared" si="90"/>
        <v>0</v>
      </c>
      <c r="T102" s="561">
        <v>0</v>
      </c>
      <c r="U102" s="505">
        <f t="shared" si="91"/>
        <v>0</v>
      </c>
      <c r="V102" s="243">
        <v>0</v>
      </c>
      <c r="W102" s="505">
        <f t="shared" si="92"/>
        <v>0</v>
      </c>
      <c r="X102" s="427">
        <v>0</v>
      </c>
      <c r="Y102" s="428">
        <f t="shared" si="93"/>
        <v>0</v>
      </c>
      <c r="Z102" s="525" t="e">
        <f t="shared" si="94"/>
        <v>#DIV/0!</v>
      </c>
      <c r="AA102" s="379">
        <v>0</v>
      </c>
      <c r="AB102" s="505">
        <f t="shared" si="95"/>
        <v>0</v>
      </c>
      <c r="AC102" s="529" t="e">
        <f t="shared" si="65"/>
        <v>#DIV/0!</v>
      </c>
      <c r="AD102" s="427">
        <v>0</v>
      </c>
      <c r="AE102" s="428">
        <f t="shared" si="96"/>
        <v>0</v>
      </c>
      <c r="AF102" s="520" t="e">
        <f t="shared" si="66"/>
        <v>#DIV/0!</v>
      </c>
    </row>
    <row r="103" spans="1:32" ht="18" hidden="1" customHeight="1" x14ac:dyDescent="0.25">
      <c r="A103" s="101">
        <v>2</v>
      </c>
      <c r="B103" s="104" t="s">
        <v>50</v>
      </c>
      <c r="C103" s="75" t="s">
        <v>282</v>
      </c>
      <c r="D103" s="53">
        <v>10104</v>
      </c>
      <c r="E103" s="54">
        <f t="shared" si="83"/>
        <v>1.9194404753507255E-3</v>
      </c>
      <c r="F103" s="165">
        <v>31350</v>
      </c>
      <c r="G103" s="164">
        <f t="shared" si="84"/>
        <v>6.1324743565743349E-3</v>
      </c>
      <c r="H103" s="125">
        <v>37742</v>
      </c>
      <c r="I103" s="54">
        <f t="shared" si="85"/>
        <v>6.9187888324860067E-3</v>
      </c>
      <c r="J103" s="165">
        <v>39028</v>
      </c>
      <c r="K103" s="164">
        <f t="shared" si="86"/>
        <v>6.9841632291357788E-3</v>
      </c>
      <c r="L103" s="329">
        <v>29004</v>
      </c>
      <c r="M103" s="211">
        <f t="shared" si="87"/>
        <v>5.6523643892468656E-3</v>
      </c>
      <c r="N103" s="243">
        <v>13808</v>
      </c>
      <c r="O103" s="244">
        <f t="shared" si="88"/>
        <v>2.6104788568794756E-3</v>
      </c>
      <c r="P103" s="379">
        <v>13210</v>
      </c>
      <c r="Q103" s="244">
        <f t="shared" si="89"/>
        <v>2.7174270799734056E-3</v>
      </c>
      <c r="R103" s="427">
        <v>12930</v>
      </c>
      <c r="S103" s="428">
        <f t="shared" si="90"/>
        <v>2.3998979904148853E-3</v>
      </c>
      <c r="T103" s="561">
        <v>0</v>
      </c>
      <c r="U103" s="505">
        <f t="shared" si="91"/>
        <v>0</v>
      </c>
      <c r="V103" s="243">
        <v>3000</v>
      </c>
      <c r="W103" s="505">
        <f t="shared" si="92"/>
        <v>5.6603773584905663E-4</v>
      </c>
      <c r="X103" s="427">
        <v>8000</v>
      </c>
      <c r="Y103" s="428">
        <f t="shared" si="93"/>
        <v>1.5094339622641509E-3</v>
      </c>
      <c r="Z103" s="520">
        <f t="shared" si="94"/>
        <v>1.6667000000000001</v>
      </c>
      <c r="AA103" s="379">
        <v>8500</v>
      </c>
      <c r="AB103" s="505">
        <f t="shared" si="95"/>
        <v>1.5454545454545454E-3</v>
      </c>
      <c r="AC103" s="529">
        <f t="shared" si="65"/>
        <v>6.25E-2</v>
      </c>
      <c r="AD103" s="427">
        <v>9000</v>
      </c>
      <c r="AE103" s="428">
        <f t="shared" si="96"/>
        <v>1.5517241379310344E-3</v>
      </c>
      <c r="AF103" s="520">
        <f t="shared" si="66"/>
        <v>5.8799999999999998E-2</v>
      </c>
    </row>
    <row r="104" spans="1:32" ht="18" hidden="1" customHeight="1" x14ac:dyDescent="0.25">
      <c r="A104" s="101">
        <v>3</v>
      </c>
      <c r="B104" s="104" t="s">
        <v>10</v>
      </c>
      <c r="C104" s="75" t="s">
        <v>11</v>
      </c>
      <c r="D104" s="53">
        <v>2359</v>
      </c>
      <c r="E104" s="54">
        <f t="shared" si="83"/>
        <v>4.4813539997549105E-4</v>
      </c>
      <c r="F104" s="165">
        <v>1683</v>
      </c>
      <c r="G104" s="164">
        <f t="shared" si="84"/>
        <v>3.2921704440556958E-4</v>
      </c>
      <c r="H104" s="125">
        <v>2278</v>
      </c>
      <c r="I104" s="54">
        <f t="shared" si="85"/>
        <v>4.1759845690220773E-4</v>
      </c>
      <c r="J104" s="165">
        <f>1084+232</f>
        <v>1316</v>
      </c>
      <c r="K104" s="164">
        <f t="shared" si="86"/>
        <v>2.3550166059092663E-4</v>
      </c>
      <c r="L104" s="329">
        <v>731</v>
      </c>
      <c r="M104" s="211">
        <f t="shared" si="87"/>
        <v>1.4245891492688798E-4</v>
      </c>
      <c r="N104" s="243">
        <v>596</v>
      </c>
      <c r="O104" s="244">
        <f t="shared" si="88"/>
        <v>1.1267710013761353E-4</v>
      </c>
      <c r="P104" s="379">
        <v>410</v>
      </c>
      <c r="Q104" s="244">
        <f t="shared" si="89"/>
        <v>8.4341037304246509E-5</v>
      </c>
      <c r="R104" s="427">
        <v>58</v>
      </c>
      <c r="S104" s="428">
        <f t="shared" si="90"/>
        <v>1.076520366930111E-5</v>
      </c>
      <c r="T104" s="561">
        <v>1594</v>
      </c>
      <c r="U104" s="505">
        <f t="shared" si="91"/>
        <v>3.5360961321231042E-4</v>
      </c>
      <c r="V104" s="243">
        <v>1800</v>
      </c>
      <c r="W104" s="505">
        <f t="shared" si="92"/>
        <v>3.3962264150943399E-4</v>
      </c>
      <c r="X104" s="427">
        <v>1800</v>
      </c>
      <c r="Y104" s="428">
        <f t="shared" si="93"/>
        <v>3.3962264150943399E-4</v>
      </c>
      <c r="Z104" s="520">
        <f t="shared" si="94"/>
        <v>0</v>
      </c>
      <c r="AA104" s="573">
        <f>ROUND(X104*$AH$1,-1)</f>
        <v>1850</v>
      </c>
      <c r="AB104" s="505">
        <f t="shared" si="95"/>
        <v>3.3636363636363638E-4</v>
      </c>
      <c r="AC104" s="529">
        <f t="shared" si="65"/>
        <v>2.7799999999999998E-2</v>
      </c>
      <c r="AD104" s="427">
        <f>ROUND(AA104*$AH$1,-1)</f>
        <v>1900</v>
      </c>
      <c r="AE104" s="428">
        <f t="shared" si="96"/>
        <v>3.2758620689655175E-4</v>
      </c>
      <c r="AF104" s="520">
        <f t="shared" si="66"/>
        <v>2.7E-2</v>
      </c>
    </row>
    <row r="105" spans="1:32" ht="18" hidden="1" customHeight="1" x14ac:dyDescent="0.25">
      <c r="A105" s="101">
        <v>4</v>
      </c>
      <c r="B105" s="104" t="s">
        <v>51</v>
      </c>
      <c r="C105" s="75" t="s">
        <v>219</v>
      </c>
      <c r="D105" s="53">
        <v>1069</v>
      </c>
      <c r="E105" s="54">
        <f t="shared" si="83"/>
        <v>2.0307619439330221E-4</v>
      </c>
      <c r="F105" s="165">
        <v>611</v>
      </c>
      <c r="G105" s="164">
        <f t="shared" si="84"/>
        <v>1.1951967565763697E-4</v>
      </c>
      <c r="H105" s="125">
        <v>602</v>
      </c>
      <c r="I105" s="54">
        <f t="shared" si="85"/>
        <v>1.1035744998030248E-4</v>
      </c>
      <c r="J105" s="165">
        <v>651</v>
      </c>
      <c r="K105" s="164">
        <f t="shared" si="86"/>
        <v>1.1649816188806477E-4</v>
      </c>
      <c r="L105" s="329">
        <v>641</v>
      </c>
      <c r="M105" s="211">
        <f t="shared" si="87"/>
        <v>1.2491951363629986E-4</v>
      </c>
      <c r="N105" s="243">
        <v>1092</v>
      </c>
      <c r="O105" s="244">
        <f t="shared" si="88"/>
        <v>2.0644864656086236E-4</v>
      </c>
      <c r="P105" s="379">
        <v>993</v>
      </c>
      <c r="Q105" s="244">
        <f t="shared" si="89"/>
        <v>2.0426987815394337E-4</v>
      </c>
      <c r="R105" s="427">
        <v>887</v>
      </c>
      <c r="S105" s="428">
        <f t="shared" si="90"/>
        <v>1.6463337335638077E-4</v>
      </c>
      <c r="T105" s="561">
        <v>619</v>
      </c>
      <c r="U105" s="505">
        <f t="shared" si="91"/>
        <v>1.3731766033777925E-4</v>
      </c>
      <c r="V105" s="243">
        <v>1000</v>
      </c>
      <c r="W105" s="505">
        <f t="shared" si="92"/>
        <v>1.8867924528301886E-4</v>
      </c>
      <c r="X105" s="427">
        <v>1000</v>
      </c>
      <c r="Y105" s="428">
        <f t="shared" si="93"/>
        <v>1.8867924528301886E-4</v>
      </c>
      <c r="Z105" s="520">
        <f t="shared" si="94"/>
        <v>0</v>
      </c>
      <c r="AA105" s="379">
        <v>1000</v>
      </c>
      <c r="AB105" s="505">
        <f t="shared" si="95"/>
        <v>1.8181818181818181E-4</v>
      </c>
      <c r="AC105" s="529">
        <f t="shared" si="65"/>
        <v>0</v>
      </c>
      <c r="AD105" s="427">
        <v>1000</v>
      </c>
      <c r="AE105" s="428">
        <f t="shared" si="96"/>
        <v>1.7241379310344826E-4</v>
      </c>
      <c r="AF105" s="520">
        <f t="shared" si="66"/>
        <v>0</v>
      </c>
    </row>
    <row r="106" spans="1:32" ht="18" hidden="1" customHeight="1" x14ac:dyDescent="0.25">
      <c r="A106" s="103">
        <v>5</v>
      </c>
      <c r="B106" s="104" t="s">
        <v>52</v>
      </c>
      <c r="C106" s="75" t="s">
        <v>220</v>
      </c>
      <c r="D106" s="53">
        <v>3243</v>
      </c>
      <c r="E106" s="54">
        <f t="shared" si="83"/>
        <v>6.1606744473103746E-4</v>
      </c>
      <c r="F106" s="165">
        <v>3287</v>
      </c>
      <c r="G106" s="164">
        <f t="shared" si="84"/>
        <v>6.4298064465900611E-4</v>
      </c>
      <c r="H106" s="125">
        <v>3078</v>
      </c>
      <c r="I106" s="54">
        <f t="shared" si="85"/>
        <v>5.6425287548068275E-4</v>
      </c>
      <c r="J106" s="165">
        <v>2962</v>
      </c>
      <c r="K106" s="164">
        <f t="shared" si="86"/>
        <v>5.3005768895921326E-4</v>
      </c>
      <c r="L106" s="329">
        <v>2935</v>
      </c>
      <c r="M106" s="211">
        <f t="shared" si="87"/>
        <v>5.7197936430973496E-4</v>
      </c>
      <c r="N106" s="243">
        <v>3528</v>
      </c>
      <c r="O106" s="244">
        <f t="shared" si="88"/>
        <v>6.6698793504278611E-4</v>
      </c>
      <c r="P106" s="379">
        <v>3456</v>
      </c>
      <c r="Q106" s="244">
        <f t="shared" si="89"/>
        <v>7.1093323152067304E-4</v>
      </c>
      <c r="R106" s="427">
        <v>3457</v>
      </c>
      <c r="S106" s="428">
        <f t="shared" si="90"/>
        <v>6.4164326008230921E-4</v>
      </c>
      <c r="T106" s="561">
        <v>2593</v>
      </c>
      <c r="U106" s="505">
        <f t="shared" si="91"/>
        <v>5.752256756960608E-4</v>
      </c>
      <c r="V106" s="243">
        <v>3500</v>
      </c>
      <c r="W106" s="505">
        <f t="shared" si="92"/>
        <v>6.6037735849056609E-4</v>
      </c>
      <c r="X106" s="427">
        <v>3600</v>
      </c>
      <c r="Y106" s="428">
        <f t="shared" si="93"/>
        <v>6.7924528301886798E-4</v>
      </c>
      <c r="Z106" s="520">
        <f t="shared" si="94"/>
        <v>2.86E-2</v>
      </c>
      <c r="AA106" s="573">
        <f>ROUND(X106*$AH$1,-1)</f>
        <v>3690</v>
      </c>
      <c r="AB106" s="505">
        <f t="shared" si="95"/>
        <v>6.7090909090909093E-4</v>
      </c>
      <c r="AC106" s="529">
        <f t="shared" si="65"/>
        <v>2.5000000000000001E-2</v>
      </c>
      <c r="AD106" s="427">
        <f>ROUND(AA106*$AH$1,-1)</f>
        <v>3780</v>
      </c>
      <c r="AE106" s="428">
        <f t="shared" si="96"/>
        <v>6.5172413793103444E-4</v>
      </c>
      <c r="AF106" s="520">
        <f t="shared" si="66"/>
        <v>2.4400000000000002E-2</v>
      </c>
    </row>
    <row r="107" spans="1:32" ht="18" hidden="1" customHeight="1" x14ac:dyDescent="0.25">
      <c r="A107" s="101">
        <v>6</v>
      </c>
      <c r="B107" s="104" t="s">
        <v>53</v>
      </c>
      <c r="C107" s="75" t="s">
        <v>221</v>
      </c>
      <c r="D107" s="53">
        <v>1450</v>
      </c>
      <c r="E107" s="54">
        <f t="shared" si="83"/>
        <v>2.7545414580943707E-4</v>
      </c>
      <c r="F107" s="165">
        <v>300</v>
      </c>
      <c r="G107" s="164">
        <f t="shared" si="84"/>
        <v>5.8683965134682637E-5</v>
      </c>
      <c r="H107" s="125">
        <v>253</v>
      </c>
      <c r="I107" s="54">
        <f t="shared" si="85"/>
        <v>4.6379459875442737E-5</v>
      </c>
      <c r="J107" s="165">
        <v>39</v>
      </c>
      <c r="K107" s="164">
        <f t="shared" si="86"/>
        <v>6.9791525555061843E-6</v>
      </c>
      <c r="L107" s="329">
        <v>169</v>
      </c>
      <c r="M107" s="211">
        <f t="shared" si="87"/>
        <v>3.2935097978993255E-5</v>
      </c>
      <c r="N107" s="243">
        <v>1767</v>
      </c>
      <c r="O107" s="244">
        <f t="shared" si="88"/>
        <v>3.3406113413282401E-4</v>
      </c>
      <c r="P107" s="379">
        <v>79</v>
      </c>
      <c r="Q107" s="244">
        <f t="shared" si="89"/>
        <v>1.6251077919598719E-5</v>
      </c>
      <c r="R107" s="427">
        <v>488</v>
      </c>
      <c r="S107" s="428">
        <f t="shared" si="90"/>
        <v>9.0576196389981759E-5</v>
      </c>
      <c r="T107" s="561">
        <v>555</v>
      </c>
      <c r="U107" s="505">
        <f t="shared" si="91"/>
        <v>1.2312003471319464E-4</v>
      </c>
      <c r="V107" s="243">
        <v>1500</v>
      </c>
      <c r="W107" s="505">
        <f t="shared" si="92"/>
        <v>2.8301886792452831E-4</v>
      </c>
      <c r="X107" s="427">
        <v>1500</v>
      </c>
      <c r="Y107" s="428">
        <f t="shared" si="93"/>
        <v>2.8301886792452831E-4</v>
      </c>
      <c r="Z107" s="520">
        <f t="shared" si="94"/>
        <v>0</v>
      </c>
      <c r="AA107" s="379">
        <v>1500</v>
      </c>
      <c r="AB107" s="505">
        <f t="shared" si="95"/>
        <v>2.7272727272727274E-4</v>
      </c>
      <c r="AC107" s="529">
        <f t="shared" si="65"/>
        <v>0</v>
      </c>
      <c r="AD107" s="427">
        <v>1500</v>
      </c>
      <c r="AE107" s="428">
        <f t="shared" si="96"/>
        <v>2.5862068965517242E-4</v>
      </c>
      <c r="AF107" s="520">
        <f t="shared" si="66"/>
        <v>0</v>
      </c>
    </row>
    <row r="108" spans="1:32" ht="18" hidden="1" customHeight="1" x14ac:dyDescent="0.25">
      <c r="A108" s="101">
        <v>7</v>
      </c>
      <c r="B108" s="104" t="s">
        <v>54</v>
      </c>
      <c r="C108" s="75" t="s">
        <v>222</v>
      </c>
      <c r="D108" s="53">
        <f>143+474</f>
        <v>617</v>
      </c>
      <c r="E108" s="54">
        <f t="shared" si="83"/>
        <v>1.1721048825132598E-4</v>
      </c>
      <c r="F108" s="165">
        <f>365+313</f>
        <v>678</v>
      </c>
      <c r="G108" s="164">
        <f t="shared" si="84"/>
        <v>1.3262576120438274E-4</v>
      </c>
      <c r="H108" s="125">
        <v>249</v>
      </c>
      <c r="I108" s="54">
        <f t="shared" si="85"/>
        <v>4.5646187782550363E-5</v>
      </c>
      <c r="J108" s="165">
        <f>193+13</f>
        <v>206</v>
      </c>
      <c r="K108" s="164">
        <f t="shared" si="86"/>
        <v>3.6864241703442923E-5</v>
      </c>
      <c r="L108" s="329">
        <v>119</v>
      </c>
      <c r="M108" s="211">
        <f t="shared" si="87"/>
        <v>2.3190986150888742E-5</v>
      </c>
      <c r="N108" s="243">
        <f>632+1563</f>
        <v>2195</v>
      </c>
      <c r="O108" s="244">
        <f t="shared" si="88"/>
        <v>4.1497690403030483E-4</v>
      </c>
      <c r="P108" s="379">
        <f>343+881</f>
        <v>1224</v>
      </c>
      <c r="Q108" s="244">
        <f t="shared" si="89"/>
        <v>2.5178885283023836E-4</v>
      </c>
      <c r="R108" s="427">
        <v>1118</v>
      </c>
      <c r="S108" s="428">
        <f t="shared" si="90"/>
        <v>2.0750858107376966E-4</v>
      </c>
      <c r="T108" s="561">
        <v>966</v>
      </c>
      <c r="U108" s="505">
        <f t="shared" si="91"/>
        <v>2.1429541177107392E-4</v>
      </c>
      <c r="V108" s="243">
        <v>1750</v>
      </c>
      <c r="W108" s="505">
        <f t="shared" si="92"/>
        <v>3.3018867924528304E-4</v>
      </c>
      <c r="X108" s="427">
        <v>1750</v>
      </c>
      <c r="Y108" s="428">
        <f t="shared" si="93"/>
        <v>3.3018867924528304E-4</v>
      </c>
      <c r="Z108" s="520">
        <f t="shared" si="94"/>
        <v>0</v>
      </c>
      <c r="AA108" s="573">
        <f>ROUND(X108*$AH$1,-1)</f>
        <v>1790</v>
      </c>
      <c r="AB108" s="505">
        <f t="shared" si="95"/>
        <v>3.2545454545454544E-4</v>
      </c>
      <c r="AC108" s="529">
        <f t="shared" si="65"/>
        <v>2.29E-2</v>
      </c>
      <c r="AD108" s="427">
        <f>ROUND(AA108*$AH$1,-1)</f>
        <v>1830</v>
      </c>
      <c r="AE108" s="428">
        <f t="shared" si="96"/>
        <v>3.1551724137931033E-4</v>
      </c>
      <c r="AF108" s="520">
        <f t="shared" si="66"/>
        <v>2.23E-2</v>
      </c>
    </row>
    <row r="109" spans="1:32" ht="18" hidden="1" customHeight="1" x14ac:dyDescent="0.25">
      <c r="A109" s="101">
        <v>8</v>
      </c>
      <c r="B109" s="104"/>
      <c r="C109" s="75" t="s">
        <v>258</v>
      </c>
      <c r="D109" s="53"/>
      <c r="E109" s="54"/>
      <c r="F109" s="165"/>
      <c r="G109" s="164"/>
      <c r="H109" s="125"/>
      <c r="I109" s="54"/>
      <c r="J109" s="165"/>
      <c r="K109" s="164"/>
      <c r="L109" s="329"/>
      <c r="M109" s="211"/>
      <c r="N109" s="243">
        <v>160</v>
      </c>
      <c r="O109" s="244">
        <f t="shared" si="88"/>
        <v>3.0248885942983498E-5</v>
      </c>
      <c r="P109" s="379">
        <v>0</v>
      </c>
      <c r="Q109" s="244">
        <f t="shared" si="89"/>
        <v>0</v>
      </c>
      <c r="R109" s="427">
        <v>110</v>
      </c>
      <c r="S109" s="428">
        <f t="shared" si="90"/>
        <v>2.0416765579709002E-5</v>
      </c>
      <c r="T109" s="561">
        <v>0</v>
      </c>
      <c r="U109" s="505">
        <f t="shared" si="91"/>
        <v>0</v>
      </c>
      <c r="V109" s="243">
        <v>100</v>
      </c>
      <c r="W109" s="505">
        <f t="shared" si="92"/>
        <v>1.8867924528301888E-5</v>
      </c>
      <c r="X109" s="427">
        <v>100</v>
      </c>
      <c r="Y109" s="428">
        <f t="shared" si="93"/>
        <v>1.8867924528301888E-5</v>
      </c>
      <c r="Z109" s="520">
        <f t="shared" si="94"/>
        <v>0</v>
      </c>
      <c r="AA109" s="379">
        <v>100</v>
      </c>
      <c r="AB109" s="505">
        <f t="shared" si="95"/>
        <v>1.8181818181818182E-5</v>
      </c>
      <c r="AC109" s="529">
        <f t="shared" si="65"/>
        <v>0</v>
      </c>
      <c r="AD109" s="427">
        <v>100</v>
      </c>
      <c r="AE109" s="428">
        <f t="shared" si="96"/>
        <v>1.7241379310344828E-5</v>
      </c>
      <c r="AF109" s="520">
        <f t="shared" si="66"/>
        <v>0</v>
      </c>
    </row>
    <row r="110" spans="1:32" ht="18" hidden="1" customHeight="1" x14ac:dyDescent="0.25">
      <c r="A110" s="103">
        <v>9</v>
      </c>
      <c r="B110" s="104" t="s">
        <v>55</v>
      </c>
      <c r="C110" s="75" t="s">
        <v>224</v>
      </c>
      <c r="D110" s="53">
        <v>20184</v>
      </c>
      <c r="E110" s="54">
        <f>D110/D$12</f>
        <v>3.8343217096673638E-3</v>
      </c>
      <c r="F110" s="165">
        <v>12594</v>
      </c>
      <c r="G110" s="164">
        <f>F110/F$12</f>
        <v>2.4635528563539768E-3</v>
      </c>
      <c r="H110" s="125">
        <v>7948</v>
      </c>
      <c r="I110" s="54">
        <f>H110/H$12</f>
        <v>1.4570116485771497E-3</v>
      </c>
      <c r="J110" s="165">
        <v>9591</v>
      </c>
      <c r="K110" s="164">
        <f>J110/J$12</f>
        <v>1.7163346707656363E-3</v>
      </c>
      <c r="L110" s="329">
        <v>16481</v>
      </c>
      <c r="M110" s="211">
        <f>L110/L$12</f>
        <v>3.2118541407798098E-3</v>
      </c>
      <c r="N110" s="243">
        <v>25269</v>
      </c>
      <c r="O110" s="244">
        <f t="shared" si="88"/>
        <v>4.7772443680828124E-3</v>
      </c>
      <c r="P110" s="379">
        <v>25477</v>
      </c>
      <c r="Q110" s="244">
        <f t="shared" si="89"/>
        <v>5.2408697741470446E-3</v>
      </c>
      <c r="R110" s="427">
        <v>26752</v>
      </c>
      <c r="S110" s="428">
        <f t="shared" si="90"/>
        <v>4.9653573889852295E-3</v>
      </c>
      <c r="T110" s="561">
        <v>24117</v>
      </c>
      <c r="U110" s="505">
        <f t="shared" si="91"/>
        <v>5.3500646435641723E-3</v>
      </c>
      <c r="V110" s="243">
        <v>32175</v>
      </c>
      <c r="W110" s="505">
        <f t="shared" si="92"/>
        <v>6.0707547169811318E-3</v>
      </c>
      <c r="X110" s="427">
        <v>31765</v>
      </c>
      <c r="Y110" s="428">
        <f t="shared" si="93"/>
        <v>5.9933962264150939E-3</v>
      </c>
      <c r="Z110" s="520">
        <f t="shared" si="94"/>
        <v>-1.2699999999999999E-2</v>
      </c>
      <c r="AA110" s="379">
        <v>32915</v>
      </c>
      <c r="AB110" s="505">
        <f t="shared" si="95"/>
        <v>5.9845454545454542E-3</v>
      </c>
      <c r="AC110" s="529">
        <f t="shared" si="65"/>
        <v>3.6200000000000003E-2</v>
      </c>
      <c r="AD110" s="427">
        <v>35460</v>
      </c>
      <c r="AE110" s="428">
        <f t="shared" si="96"/>
        <v>6.1137931034482762E-3</v>
      </c>
      <c r="AF110" s="520">
        <f t="shared" si="66"/>
        <v>7.7299999999999994E-2</v>
      </c>
    </row>
    <row r="111" spans="1:32" ht="18" hidden="1" customHeight="1" x14ac:dyDescent="0.25">
      <c r="A111" s="101">
        <v>10</v>
      </c>
      <c r="B111" s="104" t="s">
        <v>56</v>
      </c>
      <c r="C111" s="75" t="s">
        <v>5</v>
      </c>
      <c r="D111" s="53">
        <v>20182</v>
      </c>
      <c r="E111" s="54">
        <f>D111/D$12</f>
        <v>3.8339417729145232E-3</v>
      </c>
      <c r="F111" s="165">
        <v>18060</v>
      </c>
      <c r="G111" s="164">
        <f>F111/F$12</f>
        <v>3.5327747011078946E-3</v>
      </c>
      <c r="H111" s="125">
        <v>19007</v>
      </c>
      <c r="I111" s="54">
        <f>H111/H$12</f>
        <v>3.4843256674013442E-3</v>
      </c>
      <c r="J111" s="165">
        <v>20338</v>
      </c>
      <c r="K111" s="164">
        <f>J111/J$12</f>
        <v>3.639538581381661E-3</v>
      </c>
      <c r="L111" s="329">
        <v>20499</v>
      </c>
      <c r="M111" s="211">
        <f>L111/L$12</f>
        <v>3.9948909672862885E-3</v>
      </c>
      <c r="N111" s="243">
        <v>22496</v>
      </c>
      <c r="O111" s="244">
        <f t="shared" si="88"/>
        <v>4.2529933635834793E-3</v>
      </c>
      <c r="P111" s="379">
        <v>23215</v>
      </c>
      <c r="Q111" s="244">
        <f t="shared" si="89"/>
        <v>4.7755541000441045E-3</v>
      </c>
      <c r="R111" s="427">
        <v>21893</v>
      </c>
      <c r="S111" s="428">
        <f t="shared" si="90"/>
        <v>4.0634931712415379E-3</v>
      </c>
      <c r="T111" s="561">
        <v>16503</v>
      </c>
      <c r="U111" s="505">
        <f t="shared" si="91"/>
        <v>3.660990870039372E-3</v>
      </c>
      <c r="V111" s="243">
        <v>22495</v>
      </c>
      <c r="W111" s="505">
        <f t="shared" si="92"/>
        <v>4.2443396226415093E-3</v>
      </c>
      <c r="X111" s="427">
        <v>22905</v>
      </c>
      <c r="Y111" s="428">
        <f t="shared" si="93"/>
        <v>4.3216981132075472E-3</v>
      </c>
      <c r="Z111" s="520">
        <f t="shared" si="94"/>
        <v>1.8200000000000001E-2</v>
      </c>
      <c r="AA111" s="379">
        <v>23080</v>
      </c>
      <c r="AB111" s="505">
        <f t="shared" si="95"/>
        <v>4.1963636363636361E-3</v>
      </c>
      <c r="AC111" s="529">
        <f t="shared" si="65"/>
        <v>7.6E-3</v>
      </c>
      <c r="AD111" s="427">
        <v>23675</v>
      </c>
      <c r="AE111" s="428">
        <f t="shared" si="96"/>
        <v>4.0818965517241375E-3</v>
      </c>
      <c r="AF111" s="520">
        <f t="shared" si="66"/>
        <v>2.58E-2</v>
      </c>
    </row>
    <row r="112" spans="1:32" ht="18" hidden="1" customHeight="1" x14ac:dyDescent="0.25">
      <c r="A112" s="101">
        <v>11</v>
      </c>
      <c r="B112" s="104" t="s">
        <v>57</v>
      </c>
      <c r="C112" s="76" t="s">
        <v>225</v>
      </c>
      <c r="D112" s="55">
        <v>13159</v>
      </c>
      <c r="E112" s="56">
        <f>D112/D$12</f>
        <v>2.4997938653147462E-3</v>
      </c>
      <c r="F112" s="166">
        <v>14099</v>
      </c>
      <c r="G112" s="167">
        <f>F112/F$12</f>
        <v>2.7579507481129682E-3</v>
      </c>
      <c r="H112" s="126">
        <v>14663</v>
      </c>
      <c r="I112" s="56">
        <f>H112/H$12</f>
        <v>2.6879921745202248E-3</v>
      </c>
      <c r="J112" s="166">
        <v>17883</v>
      </c>
      <c r="K112" s="167">
        <f>J112/J$12</f>
        <v>3.2002098756440281E-3</v>
      </c>
      <c r="L112" s="331">
        <v>17893</v>
      </c>
      <c r="M112" s="212">
        <f>L112/L$12</f>
        <v>3.4870278588054809E-3</v>
      </c>
      <c r="N112" s="246">
        <v>24194</v>
      </c>
      <c r="O112" s="247">
        <f t="shared" si="88"/>
        <v>4.5740096656533922E-3</v>
      </c>
      <c r="P112" s="381">
        <v>25124</v>
      </c>
      <c r="Q112" s="247">
        <f t="shared" si="89"/>
        <v>5.1682541981265592E-3</v>
      </c>
      <c r="R112" s="430">
        <v>27361</v>
      </c>
      <c r="S112" s="431">
        <f t="shared" si="90"/>
        <v>5.0783920275128906E-3</v>
      </c>
      <c r="T112" s="562">
        <v>21772</v>
      </c>
      <c r="U112" s="506">
        <f t="shared" si="91"/>
        <v>4.8298547671633768E-3</v>
      </c>
      <c r="V112" s="246">
        <v>29580</v>
      </c>
      <c r="W112" s="506">
        <f t="shared" si="92"/>
        <v>5.5811320754716983E-3</v>
      </c>
      <c r="X112" s="430">
        <v>29715</v>
      </c>
      <c r="Y112" s="431">
        <f t="shared" si="93"/>
        <v>5.6066037735849053E-3</v>
      </c>
      <c r="Z112" s="521">
        <f t="shared" si="94"/>
        <v>4.5999999999999999E-3</v>
      </c>
      <c r="AA112" s="381">
        <v>31265</v>
      </c>
      <c r="AB112" s="506">
        <f t="shared" si="95"/>
        <v>5.6845454545454543E-3</v>
      </c>
      <c r="AC112" s="529">
        <f t="shared" si="65"/>
        <v>5.2200000000000003E-2</v>
      </c>
      <c r="AD112" s="430">
        <v>32930</v>
      </c>
      <c r="AE112" s="431">
        <f t="shared" si="96"/>
        <v>5.6775862068965521E-3</v>
      </c>
      <c r="AF112" s="520">
        <f t="shared" si="66"/>
        <v>5.33E-2</v>
      </c>
    </row>
    <row r="113" spans="1:32" ht="18" hidden="1" customHeight="1" thickBot="1" x14ac:dyDescent="0.3">
      <c r="A113" s="97"/>
      <c r="B113" s="98"/>
      <c r="C113" s="82" t="s">
        <v>226</v>
      </c>
      <c r="D113" s="37">
        <f>SUM(D101:D112)</f>
        <v>355457</v>
      </c>
      <c r="E113" s="38">
        <f>D113/D$12</f>
        <v>6.7525589177231074E-2</v>
      </c>
      <c r="F113" s="179">
        <f>SUM(F101:F112)</f>
        <v>334547</v>
      </c>
      <c r="G113" s="180">
        <f>F113/F$12</f>
        <v>6.5441814946375576E-2</v>
      </c>
      <c r="H113" s="133">
        <f>SUM(H101:H112)</f>
        <v>348122</v>
      </c>
      <c r="I113" s="38">
        <f>H113/H$12</f>
        <v>6.3817036880469871E-2</v>
      </c>
      <c r="J113" s="179">
        <f>SUM(J101:J112)</f>
        <v>373143</v>
      </c>
      <c r="K113" s="180">
        <f>J113/J$12</f>
        <v>6.6774921077416519E-2</v>
      </c>
      <c r="L113" s="339">
        <f>SUM(L101:L112)</f>
        <v>372425</v>
      </c>
      <c r="M113" s="219">
        <f>L113/L$12</f>
        <v>7.257901695163646E-2</v>
      </c>
      <c r="N113" s="263">
        <f>SUM(N101:N112)</f>
        <v>405397</v>
      </c>
      <c r="O113" s="264">
        <f t="shared" si="88"/>
        <v>7.6642547591422999E-2</v>
      </c>
      <c r="P113" s="395">
        <f>SUM(P101:P112)</f>
        <v>404225</v>
      </c>
      <c r="Q113" s="264">
        <f t="shared" si="89"/>
        <v>8.3153062937339137E-2</v>
      </c>
      <c r="R113" s="447">
        <f>SUM(R101:R112)</f>
        <v>388989</v>
      </c>
      <c r="S113" s="448">
        <f t="shared" si="90"/>
        <v>7.2199065691685674E-2</v>
      </c>
      <c r="T113" s="395">
        <f>SUM(T101:T112)</f>
        <v>290831</v>
      </c>
      <c r="U113" s="514">
        <f t="shared" si="91"/>
        <v>6.4517338406618219E-2</v>
      </c>
      <c r="V113" s="263">
        <f>SUM(V101:V112)</f>
        <v>395695</v>
      </c>
      <c r="W113" s="514">
        <f t="shared" si="92"/>
        <v>7.4659433962264155E-2</v>
      </c>
      <c r="X113" s="447">
        <f>SUM(X101:X112)</f>
        <v>401540</v>
      </c>
      <c r="Y113" s="448">
        <f t="shared" si="93"/>
        <v>7.5762264150943393E-2</v>
      </c>
      <c r="Z113" s="524">
        <f t="shared" si="94"/>
        <v>1.4800000000000001E-2</v>
      </c>
      <c r="AA113" s="395">
        <f>SUM(AA101:AA112)</f>
        <v>407375</v>
      </c>
      <c r="AB113" s="514">
        <f t="shared" si="95"/>
        <v>7.4068181818181825E-2</v>
      </c>
      <c r="AC113" s="533">
        <f t="shared" si="65"/>
        <v>1.4500000000000001E-2</v>
      </c>
      <c r="AD113" s="447">
        <f>SUM(AD101:AD112)</f>
        <v>420610</v>
      </c>
      <c r="AE113" s="448">
        <f t="shared" si="96"/>
        <v>7.2518965517241379E-2</v>
      </c>
      <c r="AF113" s="524">
        <f t="shared" si="66"/>
        <v>3.2500000000000001E-2</v>
      </c>
    </row>
    <row r="114" spans="1:32" ht="18" hidden="1" customHeight="1" thickTop="1" x14ac:dyDescent="0.25">
      <c r="A114" s="97"/>
      <c r="B114" s="98"/>
      <c r="C114" s="73" t="s">
        <v>238</v>
      </c>
      <c r="D114" s="28"/>
      <c r="E114" s="29"/>
      <c r="F114" s="159"/>
      <c r="G114" s="160"/>
      <c r="H114" s="122"/>
      <c r="I114" s="29"/>
      <c r="J114" s="159"/>
      <c r="K114" s="160"/>
      <c r="L114" s="328"/>
      <c r="M114" s="209"/>
      <c r="N114" s="241"/>
      <c r="O114" s="242"/>
      <c r="P114" s="378"/>
      <c r="Q114" s="242"/>
      <c r="R114" s="425"/>
      <c r="S114" s="426"/>
      <c r="T114" s="378"/>
      <c r="U114" s="504"/>
      <c r="V114" s="241"/>
      <c r="W114" s="504"/>
      <c r="X114" s="425"/>
      <c r="Y114" s="426"/>
      <c r="Z114" s="426"/>
      <c r="AA114" s="378"/>
      <c r="AB114" s="504"/>
      <c r="AC114" s="529"/>
      <c r="AD114" s="425"/>
      <c r="AE114" s="426"/>
      <c r="AF114" s="520"/>
    </row>
    <row r="115" spans="1:32" s="3" customFormat="1" ht="18" hidden="1" customHeight="1" x14ac:dyDescent="0.25">
      <c r="A115" s="99"/>
      <c r="B115" s="100"/>
      <c r="C115" s="105" t="s">
        <v>214</v>
      </c>
      <c r="D115" s="106">
        <v>9.8000000000000007</v>
      </c>
      <c r="E115" s="108"/>
      <c r="F115" s="177">
        <v>9.8000000000000007</v>
      </c>
      <c r="G115" s="182"/>
      <c r="H115" s="132">
        <v>10</v>
      </c>
      <c r="I115" s="108"/>
      <c r="J115" s="177">
        <v>9.8000000000000007</v>
      </c>
      <c r="K115" s="182"/>
      <c r="L115" s="338">
        <v>9.8000000000000007</v>
      </c>
      <c r="M115" s="220"/>
      <c r="N115" s="261">
        <v>9.33</v>
      </c>
      <c r="O115" s="266"/>
      <c r="P115" s="394">
        <v>9</v>
      </c>
      <c r="Q115" s="266"/>
      <c r="R115" s="445">
        <v>8.5</v>
      </c>
      <c r="S115" s="450"/>
      <c r="T115" s="394">
        <v>8.5</v>
      </c>
      <c r="U115" s="515"/>
      <c r="V115" s="261">
        <v>8.5</v>
      </c>
      <c r="W115" s="515"/>
      <c r="X115" s="445">
        <v>8.5</v>
      </c>
      <c r="Y115" s="450"/>
      <c r="Z115" s="450"/>
      <c r="AA115" s="394">
        <v>9</v>
      </c>
      <c r="AB115" s="515"/>
      <c r="AC115" s="529">
        <f t="shared" si="65"/>
        <v>5.8799999999999998E-2</v>
      </c>
      <c r="AD115" s="445">
        <v>9</v>
      </c>
      <c r="AE115" s="450"/>
      <c r="AF115" s="520">
        <f t="shared" si="66"/>
        <v>0</v>
      </c>
    </row>
    <row r="116" spans="1:32" ht="18" hidden="1" customHeight="1" x14ac:dyDescent="0.25">
      <c r="A116" s="101">
        <v>1</v>
      </c>
      <c r="B116" s="102" t="s">
        <v>83</v>
      </c>
      <c r="C116" s="74" t="s">
        <v>215</v>
      </c>
      <c r="D116" s="51">
        <v>417469</v>
      </c>
      <c r="E116" s="52">
        <f t="shared" ref="E116:E141" si="97">D116/D$12</f>
        <v>7.9305908135806805E-2</v>
      </c>
      <c r="F116" s="161">
        <v>447694</v>
      </c>
      <c r="G116" s="162">
        <f t="shared" ref="G116:G141" si="98">F116/F$12</f>
        <v>8.7574863623355356E-2</v>
      </c>
      <c r="H116" s="123">
        <v>462374</v>
      </c>
      <c r="I116" s="52">
        <f t="shared" ref="I116:I141" si="99">H116/H$12</f>
        <v>8.4761487669754776E-2</v>
      </c>
      <c r="J116" s="161">
        <v>475444</v>
      </c>
      <c r="K116" s="162">
        <f t="shared" ref="K116:K141" si="100">J116/J$12</f>
        <v>8.5081954041027752E-2</v>
      </c>
      <c r="L116" s="336">
        <v>484208</v>
      </c>
      <c r="M116" s="210">
        <f t="shared" ref="M116:M141" si="101">L116/L$12</f>
        <v>9.4363538001256603E-2</v>
      </c>
      <c r="N116" s="255">
        <v>481724</v>
      </c>
      <c r="O116" s="256">
        <f t="shared" ref="O116:O160" si="102">N116/N$12</f>
        <v>9.1072589574986137E-2</v>
      </c>
      <c r="P116" s="387">
        <v>495290</v>
      </c>
      <c r="Q116" s="256">
        <f t="shared" ref="Q116:Q160" si="103">P116/P$12</f>
        <v>0.10188603016200062</v>
      </c>
      <c r="R116" s="439">
        <v>455959</v>
      </c>
      <c r="S116" s="440">
        <f t="shared" ref="S116:S140" si="104">R116/R$12</f>
        <v>8.4629163790532147E-2</v>
      </c>
      <c r="T116" s="567">
        <v>335663</v>
      </c>
      <c r="U116" s="510">
        <f t="shared" ref="U116:U160" si="105">T116/T$12</f>
        <v>7.4462775156639738E-2</v>
      </c>
      <c r="V116" s="547">
        <v>452375</v>
      </c>
      <c r="W116" s="510">
        <f t="shared" ref="W116:W160" si="106">V116/V$12</f>
        <v>8.5353773584905659E-2</v>
      </c>
      <c r="X116" s="427">
        <v>452685</v>
      </c>
      <c r="Y116" s="440">
        <f t="shared" ref="Y116:Y160" si="107">X116/X$12</f>
        <v>8.5412264150943398E-2</v>
      </c>
      <c r="Z116" s="520">
        <f t="shared" ref="Z116:Z160" si="108">ROUND((X116-V116)/V116,4)</f>
        <v>6.9999999999999999E-4</v>
      </c>
      <c r="AA116" s="379">
        <v>473990</v>
      </c>
      <c r="AB116" s="510">
        <f t="shared" ref="AB116:AB160" si="109">AA116/AA$12</f>
        <v>8.6180000000000007E-2</v>
      </c>
      <c r="AC116" s="529">
        <f t="shared" si="65"/>
        <v>4.7100000000000003E-2</v>
      </c>
      <c r="AD116" s="427">
        <v>487515</v>
      </c>
      <c r="AE116" s="440">
        <f t="shared" ref="AE116:AE160" si="110">AD116/AD$12</f>
        <v>8.405431034482759E-2</v>
      </c>
      <c r="AF116" s="520">
        <f t="shared" si="66"/>
        <v>2.8500000000000001E-2</v>
      </c>
    </row>
    <row r="117" spans="1:32" ht="18" hidden="1" customHeight="1" x14ac:dyDescent="0.25">
      <c r="A117" s="101">
        <v>2</v>
      </c>
      <c r="B117" s="104" t="s">
        <v>84</v>
      </c>
      <c r="C117" s="75" t="s">
        <v>285</v>
      </c>
      <c r="D117" s="53">
        <v>21443.89</v>
      </c>
      <c r="E117" s="54">
        <f t="shared" si="97"/>
        <v>4.0736609674355368E-3</v>
      </c>
      <c r="F117" s="165">
        <v>1400</v>
      </c>
      <c r="G117" s="164">
        <f t="shared" si="98"/>
        <v>2.7385850396185232E-4</v>
      </c>
      <c r="H117" s="125">
        <v>4900</v>
      </c>
      <c r="I117" s="54">
        <f t="shared" si="99"/>
        <v>8.9825831379315973E-4</v>
      </c>
      <c r="J117" s="165">
        <v>12016</v>
      </c>
      <c r="K117" s="164">
        <f t="shared" si="100"/>
        <v>2.1502947976144182E-3</v>
      </c>
      <c r="L117" s="329">
        <v>3800</v>
      </c>
      <c r="M117" s="211">
        <f t="shared" si="101"/>
        <v>7.4055249893594302E-4</v>
      </c>
      <c r="N117" s="243">
        <v>8426</v>
      </c>
      <c r="O117" s="244">
        <f t="shared" si="102"/>
        <v>1.5929819559723684E-3</v>
      </c>
      <c r="P117" s="379">
        <f>10525+356</f>
        <v>10881</v>
      </c>
      <c r="Q117" s="244">
        <f t="shared" si="103"/>
        <v>2.2383288461158691E-3</v>
      </c>
      <c r="R117" s="427">
        <v>6300</v>
      </c>
      <c r="S117" s="428">
        <f t="shared" si="104"/>
        <v>1.1693238468378792E-3</v>
      </c>
      <c r="T117" s="564">
        <v>0</v>
      </c>
      <c r="U117" s="505">
        <f t="shared" si="105"/>
        <v>0</v>
      </c>
      <c r="V117" s="537">
        <v>0</v>
      </c>
      <c r="W117" s="505">
        <f t="shared" si="106"/>
        <v>0</v>
      </c>
      <c r="X117" s="473">
        <v>0</v>
      </c>
      <c r="Y117" s="428">
        <f t="shared" si="107"/>
        <v>0</v>
      </c>
      <c r="Z117" s="520" t="e">
        <f t="shared" si="108"/>
        <v>#DIV/0!</v>
      </c>
      <c r="AA117" s="488">
        <v>0</v>
      </c>
      <c r="AB117" s="505">
        <f t="shared" si="109"/>
        <v>0</v>
      </c>
      <c r="AC117" s="529" t="e">
        <f t="shared" si="65"/>
        <v>#DIV/0!</v>
      </c>
      <c r="AD117" s="473">
        <v>0</v>
      </c>
      <c r="AE117" s="428">
        <f t="shared" si="110"/>
        <v>0</v>
      </c>
      <c r="AF117" s="520" t="e">
        <f t="shared" si="66"/>
        <v>#DIV/0!</v>
      </c>
    </row>
    <row r="118" spans="1:32" ht="18" hidden="1" customHeight="1" x14ac:dyDescent="0.25">
      <c r="A118" s="103">
        <v>3</v>
      </c>
      <c r="B118" s="104" t="s">
        <v>85</v>
      </c>
      <c r="C118" s="75" t="s">
        <v>239</v>
      </c>
      <c r="D118" s="53">
        <v>66679</v>
      </c>
      <c r="E118" s="54">
        <f t="shared" si="97"/>
        <v>1.2666901371329278E-2</v>
      </c>
      <c r="F118" s="165">
        <v>61229</v>
      </c>
      <c r="G118" s="164">
        <f t="shared" si="98"/>
        <v>1.197720167077161E-2</v>
      </c>
      <c r="H118" s="125">
        <v>63588</v>
      </c>
      <c r="I118" s="54">
        <f t="shared" si="99"/>
        <v>1.165682646071009E-2</v>
      </c>
      <c r="J118" s="165">
        <v>66532</v>
      </c>
      <c r="K118" s="164">
        <f t="shared" si="100"/>
        <v>1.1906076354434294E-2</v>
      </c>
      <c r="L118" s="329">
        <v>62238</v>
      </c>
      <c r="M118" s="211">
        <f t="shared" si="101"/>
        <v>1.2129080639151373E-2</v>
      </c>
      <c r="N118" s="243">
        <v>57078</v>
      </c>
      <c r="O118" s="244">
        <f t="shared" si="102"/>
        <v>1.0790911949085075E-2</v>
      </c>
      <c r="P118" s="379">
        <v>52851</v>
      </c>
      <c r="Q118" s="244">
        <f t="shared" si="103"/>
        <v>1.0871971128211541E-2</v>
      </c>
      <c r="R118" s="427">
        <v>58616</v>
      </c>
      <c r="S118" s="428">
        <f t="shared" si="104"/>
        <v>1.087953755654748E-2</v>
      </c>
      <c r="T118" s="564">
        <v>49148</v>
      </c>
      <c r="U118" s="505">
        <f t="shared" si="105"/>
        <v>1.0902889128079444E-2</v>
      </c>
      <c r="V118" s="537">
        <v>56000</v>
      </c>
      <c r="W118" s="505">
        <f t="shared" si="106"/>
        <v>1.0566037735849057E-2</v>
      </c>
      <c r="X118" s="586">
        <v>56000</v>
      </c>
      <c r="Y118" s="428">
        <f t="shared" si="107"/>
        <v>1.0566037735849057E-2</v>
      </c>
      <c r="Z118" s="520">
        <f t="shared" si="108"/>
        <v>0</v>
      </c>
      <c r="AA118" s="573">
        <f t="shared" ref="AA118:AA156" si="111">ROUND(X118*$AH$1,-1)</f>
        <v>57400</v>
      </c>
      <c r="AB118" s="505">
        <f t="shared" si="109"/>
        <v>1.0436363636363636E-2</v>
      </c>
      <c r="AC118" s="529">
        <f t="shared" si="65"/>
        <v>2.5000000000000001E-2</v>
      </c>
      <c r="AD118" s="427">
        <f t="shared" ref="AD118:AD156" si="112">ROUND(AA118*$AH$1,-1)</f>
        <v>58840</v>
      </c>
      <c r="AE118" s="428">
        <f t="shared" si="110"/>
        <v>1.0144827586206896E-2</v>
      </c>
      <c r="AF118" s="520">
        <f t="shared" si="66"/>
        <v>2.5100000000000001E-2</v>
      </c>
    </row>
    <row r="119" spans="1:32" ht="18" hidden="1" customHeight="1" x14ac:dyDescent="0.25">
      <c r="A119" s="101">
        <v>4</v>
      </c>
      <c r="B119" s="104" t="s">
        <v>86</v>
      </c>
      <c r="C119" s="75" t="s">
        <v>240</v>
      </c>
      <c r="D119" s="53">
        <v>4676</v>
      </c>
      <c r="E119" s="54">
        <f t="shared" si="97"/>
        <v>8.8829212814132941E-4</v>
      </c>
      <c r="F119" s="165">
        <v>5042</v>
      </c>
      <c r="G119" s="164">
        <f t="shared" si="98"/>
        <v>9.8628184069689956E-4</v>
      </c>
      <c r="H119" s="125">
        <v>3940</v>
      </c>
      <c r="I119" s="54">
        <f t="shared" si="99"/>
        <v>7.2227301149898964E-4</v>
      </c>
      <c r="J119" s="165">
        <v>4673</v>
      </c>
      <c r="K119" s="164">
        <f t="shared" si="100"/>
        <v>8.3624563825334362E-4</v>
      </c>
      <c r="L119" s="329">
        <v>3567</v>
      </c>
      <c r="M119" s="211">
        <f t="shared" si="101"/>
        <v>6.9514493781697596E-4</v>
      </c>
      <c r="N119" s="243">
        <v>2854</v>
      </c>
      <c r="O119" s="244">
        <f t="shared" si="102"/>
        <v>5.3956450300796815E-4</v>
      </c>
      <c r="P119" s="379">
        <v>2532</v>
      </c>
      <c r="Q119" s="244">
        <f t="shared" si="103"/>
        <v>5.2085733281549305E-4</v>
      </c>
      <c r="R119" s="427">
        <v>2644</v>
      </c>
      <c r="S119" s="428">
        <f t="shared" si="104"/>
        <v>4.9074480175227816E-4</v>
      </c>
      <c r="T119" s="564">
        <v>1536</v>
      </c>
      <c r="U119" s="505">
        <f t="shared" si="105"/>
        <v>3.4074301499003061E-4</v>
      </c>
      <c r="V119" s="537">
        <v>3000</v>
      </c>
      <c r="W119" s="505">
        <f t="shared" si="106"/>
        <v>5.6603773584905663E-4</v>
      </c>
      <c r="X119" s="586">
        <v>3000</v>
      </c>
      <c r="Y119" s="428">
        <f t="shared" si="107"/>
        <v>5.6603773584905663E-4</v>
      </c>
      <c r="Z119" s="520">
        <f t="shared" si="108"/>
        <v>0</v>
      </c>
      <c r="AA119" s="573">
        <f t="shared" si="111"/>
        <v>3080</v>
      </c>
      <c r="AB119" s="505">
        <f t="shared" si="109"/>
        <v>5.5999999999999995E-4</v>
      </c>
      <c r="AC119" s="529">
        <f t="shared" si="65"/>
        <v>2.6700000000000002E-2</v>
      </c>
      <c r="AD119" s="427">
        <f t="shared" si="112"/>
        <v>3160</v>
      </c>
      <c r="AE119" s="428">
        <f t="shared" si="110"/>
        <v>5.4482758620689651E-4</v>
      </c>
      <c r="AF119" s="520">
        <f t="shared" si="66"/>
        <v>2.5999999999999999E-2</v>
      </c>
    </row>
    <row r="120" spans="1:32" ht="18" hidden="1" customHeight="1" x14ac:dyDescent="0.25">
      <c r="A120" s="101">
        <v>5</v>
      </c>
      <c r="B120" s="104" t="s">
        <v>87</v>
      </c>
      <c r="C120" s="75" t="s">
        <v>241</v>
      </c>
      <c r="D120" s="53">
        <v>11028</v>
      </c>
      <c r="E120" s="54">
        <f t="shared" si="97"/>
        <v>2.094971255163084E-3</v>
      </c>
      <c r="F120" s="165">
        <v>11940</v>
      </c>
      <c r="G120" s="164">
        <f t="shared" si="98"/>
        <v>2.335621812360369E-3</v>
      </c>
      <c r="H120" s="125">
        <v>11878</v>
      </c>
      <c r="I120" s="54">
        <f t="shared" si="99"/>
        <v>2.1774514798439085E-3</v>
      </c>
      <c r="J120" s="165">
        <v>8941</v>
      </c>
      <c r="K120" s="164">
        <f t="shared" si="100"/>
        <v>1.6000154615071998E-3</v>
      </c>
      <c r="L120" s="329">
        <v>5920</v>
      </c>
      <c r="M120" s="211">
        <f t="shared" si="101"/>
        <v>1.1537028404475743E-3</v>
      </c>
      <c r="N120" s="243">
        <f>8867+6337</f>
        <v>15204</v>
      </c>
      <c r="O120" s="244">
        <f t="shared" si="102"/>
        <v>2.8744003867320067E-3</v>
      </c>
      <c r="P120" s="379">
        <v>19131</v>
      </c>
      <c r="Q120" s="244">
        <f t="shared" si="103"/>
        <v>3.9354350845549751E-3</v>
      </c>
      <c r="R120" s="427">
        <v>23689</v>
      </c>
      <c r="S120" s="428">
        <f t="shared" si="104"/>
        <v>4.396843271070241E-3</v>
      </c>
      <c r="T120" s="564">
        <v>15974</v>
      </c>
      <c r="U120" s="505">
        <f t="shared" si="105"/>
        <v>3.5436386207361647E-3</v>
      </c>
      <c r="V120" s="537">
        <v>22000</v>
      </c>
      <c r="W120" s="505">
        <f t="shared" si="106"/>
        <v>4.1509433962264152E-3</v>
      </c>
      <c r="X120" s="586">
        <v>22000</v>
      </c>
      <c r="Y120" s="428">
        <f t="shared" si="107"/>
        <v>4.1509433962264152E-3</v>
      </c>
      <c r="Z120" s="520">
        <f t="shared" si="108"/>
        <v>0</v>
      </c>
      <c r="AA120" s="573">
        <f t="shared" si="111"/>
        <v>22550</v>
      </c>
      <c r="AB120" s="505">
        <f t="shared" si="109"/>
        <v>4.1000000000000003E-3</v>
      </c>
      <c r="AC120" s="529">
        <f t="shared" si="65"/>
        <v>2.5000000000000001E-2</v>
      </c>
      <c r="AD120" s="427">
        <f t="shared" si="112"/>
        <v>23110</v>
      </c>
      <c r="AE120" s="428">
        <f t="shared" si="110"/>
        <v>3.9844827586206898E-3</v>
      </c>
      <c r="AF120" s="520">
        <f t="shared" si="66"/>
        <v>2.4799999999999999E-2</v>
      </c>
    </row>
    <row r="121" spans="1:32" ht="18" hidden="1" customHeight="1" x14ac:dyDescent="0.25">
      <c r="A121" s="101">
        <v>6</v>
      </c>
      <c r="B121" s="104" t="s">
        <v>88</v>
      </c>
      <c r="C121" s="75" t="s">
        <v>317</v>
      </c>
      <c r="D121" s="53">
        <v>7353</v>
      </c>
      <c r="E121" s="54">
        <f t="shared" si="97"/>
        <v>1.3968374718184764E-3</v>
      </c>
      <c r="F121" s="165">
        <v>8639</v>
      </c>
      <c r="G121" s="164">
        <f t="shared" si="98"/>
        <v>1.6899025826617442E-3</v>
      </c>
      <c r="H121" s="125">
        <v>9803</v>
      </c>
      <c r="I121" s="54">
        <f t="shared" si="99"/>
        <v>1.7970665816559887E-3</v>
      </c>
      <c r="J121" s="165">
        <v>11318</v>
      </c>
      <c r="K121" s="164">
        <f t="shared" si="100"/>
        <v>2.0253858621338203E-3</v>
      </c>
      <c r="L121" s="329">
        <v>30892</v>
      </c>
      <c r="M121" s="211">
        <f t="shared" si="101"/>
        <v>6.0203020518760919E-3</v>
      </c>
      <c r="N121" s="243">
        <v>36982</v>
      </c>
      <c r="O121" s="244">
        <f t="shared" si="102"/>
        <v>6.9916518746463482E-3</v>
      </c>
      <c r="P121" s="379">
        <v>62393</v>
      </c>
      <c r="Q121" s="244">
        <f t="shared" si="103"/>
        <v>1.2834854489082568E-2</v>
      </c>
      <c r="R121" s="427">
        <v>49561</v>
      </c>
      <c r="S121" s="428">
        <f t="shared" si="104"/>
        <v>9.1988665354177986E-3</v>
      </c>
      <c r="T121" s="564">
        <v>55715</v>
      </c>
      <c r="U121" s="505">
        <f t="shared" si="105"/>
        <v>1.2359698619902054E-2</v>
      </c>
      <c r="V121" s="537">
        <v>70000</v>
      </c>
      <c r="W121" s="505">
        <f t="shared" si="106"/>
        <v>1.3207547169811321E-2</v>
      </c>
      <c r="X121" s="586">
        <v>70000</v>
      </c>
      <c r="Y121" s="428">
        <f t="shared" si="107"/>
        <v>1.3207547169811321E-2</v>
      </c>
      <c r="Z121" s="520">
        <f t="shared" si="108"/>
        <v>0</v>
      </c>
      <c r="AA121" s="573">
        <f t="shared" si="111"/>
        <v>71750</v>
      </c>
      <c r="AB121" s="505">
        <f t="shared" si="109"/>
        <v>1.3045454545454546E-2</v>
      </c>
      <c r="AC121" s="529">
        <f t="shared" si="65"/>
        <v>2.5000000000000001E-2</v>
      </c>
      <c r="AD121" s="427">
        <f t="shared" si="112"/>
        <v>73540</v>
      </c>
      <c r="AE121" s="428">
        <f t="shared" si="110"/>
        <v>1.2679310344827586E-2</v>
      </c>
      <c r="AF121" s="520">
        <f t="shared" si="66"/>
        <v>2.4899999999999999E-2</v>
      </c>
    </row>
    <row r="122" spans="1:32" ht="18" hidden="1" customHeight="1" x14ac:dyDescent="0.25">
      <c r="A122" s="103">
        <v>7</v>
      </c>
      <c r="B122" s="104" t="s">
        <v>89</v>
      </c>
      <c r="C122" s="75" t="s">
        <v>242</v>
      </c>
      <c r="D122" s="53">
        <v>12154</v>
      </c>
      <c r="E122" s="54">
        <f t="shared" si="97"/>
        <v>2.3088756470123436E-3</v>
      </c>
      <c r="F122" s="165">
        <v>13560</v>
      </c>
      <c r="G122" s="164">
        <f t="shared" si="98"/>
        <v>2.6525152240876549E-3</v>
      </c>
      <c r="H122" s="125">
        <v>13580</v>
      </c>
      <c r="I122" s="54">
        <f t="shared" si="99"/>
        <v>2.489458755369614E-3</v>
      </c>
      <c r="J122" s="165">
        <v>14208</v>
      </c>
      <c r="K122" s="164">
        <f t="shared" si="100"/>
        <v>2.5425589617597915E-3</v>
      </c>
      <c r="L122" s="329">
        <v>14066</v>
      </c>
      <c r="M122" s="211">
        <f t="shared" si="101"/>
        <v>2.7412135394823617E-3</v>
      </c>
      <c r="N122" s="243">
        <v>23493</v>
      </c>
      <c r="O122" s="244">
        <f t="shared" si="102"/>
        <v>4.4414817341156959E-3</v>
      </c>
      <c r="P122" s="379">
        <v>21686</v>
      </c>
      <c r="Q122" s="244">
        <f t="shared" si="103"/>
        <v>4.4610237438533901E-3</v>
      </c>
      <c r="R122" s="427">
        <v>17916</v>
      </c>
      <c r="S122" s="428">
        <f t="shared" si="104"/>
        <v>3.3253342920551497E-3</v>
      </c>
      <c r="T122" s="564">
        <v>4637</v>
      </c>
      <c r="U122" s="505">
        <f t="shared" si="105"/>
        <v>1.0286623440812317E-3</v>
      </c>
      <c r="V122" s="537">
        <v>5000</v>
      </c>
      <c r="W122" s="505">
        <f t="shared" si="106"/>
        <v>9.4339622641509435E-4</v>
      </c>
      <c r="X122" s="586">
        <v>5000</v>
      </c>
      <c r="Y122" s="428">
        <f t="shared" si="107"/>
        <v>9.4339622641509435E-4</v>
      </c>
      <c r="Z122" s="520">
        <f t="shared" si="108"/>
        <v>0</v>
      </c>
      <c r="AA122" s="573">
        <f t="shared" si="111"/>
        <v>5130</v>
      </c>
      <c r="AB122" s="505">
        <f t="shared" si="109"/>
        <v>9.3272727272727268E-4</v>
      </c>
      <c r="AC122" s="529">
        <f t="shared" si="65"/>
        <v>2.5999999999999999E-2</v>
      </c>
      <c r="AD122" s="427">
        <f t="shared" si="112"/>
        <v>5260</v>
      </c>
      <c r="AE122" s="428">
        <f t="shared" si="110"/>
        <v>9.0689655172413797E-4</v>
      </c>
      <c r="AF122" s="520">
        <f t="shared" si="66"/>
        <v>2.53E-2</v>
      </c>
    </row>
    <row r="123" spans="1:32" ht="18" hidden="1" customHeight="1" x14ac:dyDescent="0.25">
      <c r="A123" s="101">
        <v>8</v>
      </c>
      <c r="B123" s="104" t="s">
        <v>90</v>
      </c>
      <c r="C123" s="75" t="s">
        <v>243</v>
      </c>
      <c r="D123" s="53">
        <v>7386</v>
      </c>
      <c r="E123" s="54">
        <f t="shared" si="97"/>
        <v>1.4031064282403463E-3</v>
      </c>
      <c r="F123" s="165">
        <v>6747</v>
      </c>
      <c r="G123" s="164">
        <f t="shared" si="98"/>
        <v>1.3198023758790125E-3</v>
      </c>
      <c r="H123" s="125">
        <v>7926</v>
      </c>
      <c r="I123" s="54">
        <f t="shared" si="99"/>
        <v>1.4529786520662417E-3</v>
      </c>
      <c r="J123" s="165">
        <v>7818</v>
      </c>
      <c r="K123" s="164">
        <f t="shared" si="100"/>
        <v>1.3990516584345475E-3</v>
      </c>
      <c r="L123" s="329">
        <v>7184</v>
      </c>
      <c r="M123" s="211">
        <f t="shared" si="101"/>
        <v>1.4000339874620565E-3</v>
      </c>
      <c r="N123" s="243">
        <v>13695</v>
      </c>
      <c r="O123" s="244">
        <f t="shared" si="102"/>
        <v>2.5891155811822437E-3</v>
      </c>
      <c r="P123" s="379">
        <v>9013</v>
      </c>
      <c r="Q123" s="244">
        <f t="shared" si="103"/>
        <v>1.8540628517638386E-3</v>
      </c>
      <c r="R123" s="427">
        <v>7889</v>
      </c>
      <c r="S123" s="428">
        <f t="shared" si="104"/>
        <v>1.4642533059847666E-3</v>
      </c>
      <c r="T123" s="564">
        <v>2569</v>
      </c>
      <c r="U123" s="505">
        <f t="shared" si="105"/>
        <v>5.6990156608684151E-4</v>
      </c>
      <c r="V123" s="537">
        <v>5500</v>
      </c>
      <c r="W123" s="505">
        <f t="shared" si="106"/>
        <v>1.0377358490566038E-3</v>
      </c>
      <c r="X123" s="586">
        <v>5500</v>
      </c>
      <c r="Y123" s="428">
        <f t="shared" si="107"/>
        <v>1.0377358490566038E-3</v>
      </c>
      <c r="Z123" s="520">
        <f t="shared" si="108"/>
        <v>0</v>
      </c>
      <c r="AA123" s="573">
        <f t="shared" si="111"/>
        <v>5640</v>
      </c>
      <c r="AB123" s="505">
        <f t="shared" si="109"/>
        <v>1.0254545454545455E-3</v>
      </c>
      <c r="AC123" s="529">
        <f t="shared" si="65"/>
        <v>2.5499999999999998E-2</v>
      </c>
      <c r="AD123" s="427">
        <f t="shared" si="112"/>
        <v>5780</v>
      </c>
      <c r="AE123" s="428">
        <f t="shared" si="110"/>
        <v>9.9655172413793108E-4</v>
      </c>
      <c r="AF123" s="520">
        <f t="shared" si="66"/>
        <v>2.4799999999999999E-2</v>
      </c>
    </row>
    <row r="124" spans="1:32" ht="18" hidden="1" customHeight="1" x14ac:dyDescent="0.25">
      <c r="A124" s="101">
        <v>9</v>
      </c>
      <c r="B124" s="104" t="s">
        <v>92</v>
      </c>
      <c r="C124" s="75" t="s">
        <v>318</v>
      </c>
      <c r="D124" s="53">
        <v>1209</v>
      </c>
      <c r="E124" s="54">
        <f t="shared" si="97"/>
        <v>2.2967176709214442E-4</v>
      </c>
      <c r="F124" s="165">
        <v>1253</v>
      </c>
      <c r="G124" s="164">
        <f t="shared" si="98"/>
        <v>2.451033610458578E-4</v>
      </c>
      <c r="H124" s="125">
        <v>970</v>
      </c>
      <c r="I124" s="54">
        <f t="shared" si="99"/>
        <v>1.7781848252640099E-4</v>
      </c>
      <c r="J124" s="165">
        <v>1030</v>
      </c>
      <c r="K124" s="164">
        <f t="shared" si="100"/>
        <v>1.8432120851721463E-4</v>
      </c>
      <c r="L124" s="329">
        <v>2338</v>
      </c>
      <c r="M124" s="211">
        <f t="shared" si="101"/>
        <v>4.5563466908216701E-4</v>
      </c>
      <c r="N124" s="243">
        <v>761</v>
      </c>
      <c r="O124" s="244">
        <f t="shared" si="102"/>
        <v>1.4387126376631525E-4</v>
      </c>
      <c r="P124" s="379">
        <v>1162</v>
      </c>
      <c r="Q124" s="244">
        <f t="shared" si="103"/>
        <v>2.3903484231105961E-4</v>
      </c>
      <c r="R124" s="427">
        <v>2116</v>
      </c>
      <c r="S124" s="428">
        <f t="shared" si="104"/>
        <v>3.9274432696967496E-4</v>
      </c>
      <c r="T124" s="564">
        <v>1316</v>
      </c>
      <c r="U124" s="505">
        <f t="shared" si="105"/>
        <v>2.91938676905521E-4</v>
      </c>
      <c r="V124" s="537">
        <v>1500</v>
      </c>
      <c r="W124" s="505">
        <f t="shared" si="106"/>
        <v>2.8301886792452831E-4</v>
      </c>
      <c r="X124" s="586">
        <v>1500</v>
      </c>
      <c r="Y124" s="428">
        <f t="shared" si="107"/>
        <v>2.8301886792452831E-4</v>
      </c>
      <c r="Z124" s="520">
        <f t="shared" si="108"/>
        <v>0</v>
      </c>
      <c r="AA124" s="573">
        <f t="shared" si="111"/>
        <v>1540</v>
      </c>
      <c r="AB124" s="505">
        <f t="shared" si="109"/>
        <v>2.7999999999999998E-4</v>
      </c>
      <c r="AC124" s="529">
        <f t="shared" si="65"/>
        <v>2.6700000000000002E-2</v>
      </c>
      <c r="AD124" s="427">
        <f t="shared" si="112"/>
        <v>1580</v>
      </c>
      <c r="AE124" s="428">
        <f t="shared" si="110"/>
        <v>2.7241379310344825E-4</v>
      </c>
      <c r="AF124" s="520">
        <f t="shared" si="66"/>
        <v>2.5999999999999999E-2</v>
      </c>
    </row>
    <row r="125" spans="1:32" ht="18" hidden="1" customHeight="1" x14ac:dyDescent="0.25">
      <c r="A125" s="101">
        <v>10</v>
      </c>
      <c r="B125" s="104" t="s">
        <v>93</v>
      </c>
      <c r="C125" s="75" t="s">
        <v>319</v>
      </c>
      <c r="D125" s="53">
        <v>51320</v>
      </c>
      <c r="E125" s="54">
        <f t="shared" si="97"/>
        <v>9.7491770778898694E-3</v>
      </c>
      <c r="F125" s="165">
        <v>55155</v>
      </c>
      <c r="G125" s="164">
        <f t="shared" si="98"/>
        <v>1.0789046990011403E-2</v>
      </c>
      <c r="H125" s="125">
        <v>55008</v>
      </c>
      <c r="I125" s="54">
        <f t="shared" si="99"/>
        <v>1.0083957821455944E-2</v>
      </c>
      <c r="J125" s="165">
        <v>51805</v>
      </c>
      <c r="K125" s="164">
        <f t="shared" si="100"/>
        <v>9.2706409778973813E-3</v>
      </c>
      <c r="L125" s="329">
        <v>48657</v>
      </c>
      <c r="M125" s="211">
        <f t="shared" si="101"/>
        <v>9.4823849844016261E-3</v>
      </c>
      <c r="N125" s="243">
        <v>31191</v>
      </c>
      <c r="O125" s="244">
        <f t="shared" si="102"/>
        <v>5.8968312590474891E-3</v>
      </c>
      <c r="P125" s="379">
        <v>33921</v>
      </c>
      <c r="Q125" s="244">
        <f t="shared" si="103"/>
        <v>6.9778837229203554E-3</v>
      </c>
      <c r="R125" s="427">
        <v>28420</v>
      </c>
      <c r="S125" s="428">
        <f t="shared" si="104"/>
        <v>5.2749497979575439E-3</v>
      </c>
      <c r="T125" s="564">
        <v>9844</v>
      </c>
      <c r="U125" s="505">
        <f t="shared" si="105"/>
        <v>2.1837722913814199E-3</v>
      </c>
      <c r="V125" s="537">
        <v>20000</v>
      </c>
      <c r="W125" s="505">
        <f t="shared" si="106"/>
        <v>3.7735849056603774E-3</v>
      </c>
      <c r="X125" s="586">
        <v>20000</v>
      </c>
      <c r="Y125" s="428">
        <f t="shared" si="107"/>
        <v>3.7735849056603774E-3</v>
      </c>
      <c r="Z125" s="520">
        <f t="shared" si="108"/>
        <v>0</v>
      </c>
      <c r="AA125" s="573">
        <f t="shared" si="111"/>
        <v>20500</v>
      </c>
      <c r="AB125" s="505">
        <f t="shared" si="109"/>
        <v>3.7272727272727271E-3</v>
      </c>
      <c r="AC125" s="529">
        <f t="shared" si="65"/>
        <v>2.5000000000000001E-2</v>
      </c>
      <c r="AD125" s="427">
        <f t="shared" si="112"/>
        <v>21010</v>
      </c>
      <c r="AE125" s="428">
        <f t="shared" si="110"/>
        <v>3.6224137931034485E-3</v>
      </c>
      <c r="AF125" s="520">
        <f t="shared" si="66"/>
        <v>2.4899999999999999E-2</v>
      </c>
    </row>
    <row r="126" spans="1:32" ht="18" hidden="1" customHeight="1" x14ac:dyDescent="0.25">
      <c r="A126" s="103">
        <v>11</v>
      </c>
      <c r="B126" s="104" t="s">
        <v>95</v>
      </c>
      <c r="C126" s="75" t="s">
        <v>316</v>
      </c>
      <c r="D126" s="53">
        <v>38041</v>
      </c>
      <c r="E126" s="54">
        <f t="shared" si="97"/>
        <v>7.2265870074046858E-3</v>
      </c>
      <c r="F126" s="165">
        <v>65259</v>
      </c>
      <c r="G126" s="164">
        <f t="shared" si="98"/>
        <v>1.2765522935747514E-2</v>
      </c>
      <c r="H126" s="125">
        <v>35583</v>
      </c>
      <c r="I126" s="54">
        <f t="shared" si="99"/>
        <v>6.5230052203473473E-3</v>
      </c>
      <c r="J126" s="165">
        <v>22597</v>
      </c>
      <c r="K126" s="164">
        <f t="shared" si="100"/>
        <v>4.0437925717121343E-3</v>
      </c>
      <c r="L126" s="329">
        <v>16996</v>
      </c>
      <c r="M126" s="211">
        <f t="shared" si="101"/>
        <v>3.3122184926092858E-3</v>
      </c>
      <c r="N126" s="243">
        <v>18450</v>
      </c>
      <c r="O126" s="244">
        <f t="shared" si="102"/>
        <v>3.4880746603002844E-3</v>
      </c>
      <c r="P126" s="379">
        <v>21549</v>
      </c>
      <c r="Q126" s="244">
        <f t="shared" si="103"/>
        <v>4.4328414948029467E-3</v>
      </c>
      <c r="R126" s="427">
        <v>17031</v>
      </c>
      <c r="S126" s="428">
        <f t="shared" si="104"/>
        <v>3.1610721326184002E-3</v>
      </c>
      <c r="T126" s="564">
        <v>15722</v>
      </c>
      <c r="U126" s="505">
        <f t="shared" si="105"/>
        <v>3.4877354698393628E-3</v>
      </c>
      <c r="V126" s="537">
        <v>18000</v>
      </c>
      <c r="W126" s="505">
        <f t="shared" si="106"/>
        <v>3.3962264150943396E-3</v>
      </c>
      <c r="X126" s="586">
        <v>18000</v>
      </c>
      <c r="Y126" s="428">
        <f t="shared" si="107"/>
        <v>3.3962264150943396E-3</v>
      </c>
      <c r="Z126" s="520">
        <f t="shared" si="108"/>
        <v>0</v>
      </c>
      <c r="AA126" s="573">
        <f t="shared" si="111"/>
        <v>18450</v>
      </c>
      <c r="AB126" s="505">
        <f t="shared" si="109"/>
        <v>3.3545454545454547E-3</v>
      </c>
      <c r="AC126" s="529">
        <f t="shared" si="65"/>
        <v>2.5000000000000001E-2</v>
      </c>
      <c r="AD126" s="427">
        <f t="shared" si="112"/>
        <v>18910</v>
      </c>
      <c r="AE126" s="428">
        <f t="shared" si="110"/>
        <v>3.2603448275862067E-3</v>
      </c>
      <c r="AF126" s="520">
        <f t="shared" si="66"/>
        <v>2.4899999999999999E-2</v>
      </c>
    </row>
    <row r="127" spans="1:32" ht="18" hidden="1" customHeight="1" x14ac:dyDescent="0.25">
      <c r="A127" s="101">
        <v>12</v>
      </c>
      <c r="B127" s="104" t="s">
        <v>96</v>
      </c>
      <c r="C127" s="75" t="s">
        <v>244</v>
      </c>
      <c r="D127" s="53">
        <v>10520</v>
      </c>
      <c r="E127" s="54">
        <f t="shared" si="97"/>
        <v>1.9984673199415709E-3</v>
      </c>
      <c r="F127" s="165">
        <v>25494</v>
      </c>
      <c r="G127" s="164">
        <f t="shared" si="98"/>
        <v>4.9869633571453303E-3</v>
      </c>
      <c r="H127" s="125">
        <v>9149</v>
      </c>
      <c r="I127" s="54">
        <f t="shared" si="99"/>
        <v>1.6771765944680853E-3</v>
      </c>
      <c r="J127" s="165">
        <v>4813</v>
      </c>
      <c r="K127" s="164">
        <f t="shared" si="100"/>
        <v>8.6129900640131453E-4</v>
      </c>
      <c r="L127" s="329">
        <v>2595</v>
      </c>
      <c r="M127" s="211">
        <f t="shared" si="101"/>
        <v>5.0571940387862419E-4</v>
      </c>
      <c r="N127" s="243">
        <v>1663</v>
      </c>
      <c r="O127" s="244">
        <f t="shared" si="102"/>
        <v>3.1439935826988472E-4</v>
      </c>
      <c r="P127" s="379">
        <v>4497</v>
      </c>
      <c r="Q127" s="244">
        <f t="shared" si="103"/>
        <v>9.2507718233462576E-4</v>
      </c>
      <c r="R127" s="427">
        <v>3628</v>
      </c>
      <c r="S127" s="428">
        <f t="shared" si="104"/>
        <v>6.7338205021076603E-4</v>
      </c>
      <c r="T127" s="564">
        <v>6568</v>
      </c>
      <c r="U127" s="505">
        <f t="shared" si="105"/>
        <v>1.4570313297229953E-3</v>
      </c>
      <c r="V127" s="537">
        <v>5000</v>
      </c>
      <c r="W127" s="505">
        <f t="shared" si="106"/>
        <v>9.4339622641509435E-4</v>
      </c>
      <c r="X127" s="586">
        <v>5000</v>
      </c>
      <c r="Y127" s="428">
        <f t="shared" si="107"/>
        <v>9.4339622641509435E-4</v>
      </c>
      <c r="Z127" s="520">
        <f t="shared" si="108"/>
        <v>0</v>
      </c>
      <c r="AA127" s="573">
        <f t="shared" si="111"/>
        <v>5130</v>
      </c>
      <c r="AB127" s="505">
        <f t="shared" si="109"/>
        <v>9.3272727272727268E-4</v>
      </c>
      <c r="AC127" s="529">
        <f t="shared" si="65"/>
        <v>2.5999999999999999E-2</v>
      </c>
      <c r="AD127" s="427">
        <f t="shared" si="112"/>
        <v>5260</v>
      </c>
      <c r="AE127" s="428">
        <f t="shared" si="110"/>
        <v>9.0689655172413797E-4</v>
      </c>
      <c r="AF127" s="520">
        <f t="shared" si="66"/>
        <v>2.53E-2</v>
      </c>
    </row>
    <row r="128" spans="1:32" ht="18" hidden="1" customHeight="1" x14ac:dyDescent="0.25">
      <c r="A128" s="101">
        <v>13</v>
      </c>
      <c r="B128" s="104" t="s">
        <v>97</v>
      </c>
      <c r="C128" s="75" t="s">
        <v>320</v>
      </c>
      <c r="D128" s="53">
        <v>11129</v>
      </c>
      <c r="E128" s="54">
        <f t="shared" si="97"/>
        <v>2.1141580611815343E-3</v>
      </c>
      <c r="F128" s="165">
        <v>16707</v>
      </c>
      <c r="G128" s="164">
        <f t="shared" si="98"/>
        <v>3.2681100183504759E-3</v>
      </c>
      <c r="H128" s="125">
        <v>7195</v>
      </c>
      <c r="I128" s="54">
        <f t="shared" si="99"/>
        <v>1.31897317709016E-3</v>
      </c>
      <c r="J128" s="165">
        <v>6125</v>
      </c>
      <c r="K128" s="164">
        <f t="shared" si="100"/>
        <v>1.0960848564737277E-3</v>
      </c>
      <c r="L128" s="329">
        <v>5423</v>
      </c>
      <c r="M128" s="211">
        <f t="shared" si="101"/>
        <v>1.0568463688762156E-3</v>
      </c>
      <c r="N128" s="243">
        <v>2474</v>
      </c>
      <c r="O128" s="244">
        <f t="shared" si="102"/>
        <v>4.6772339889338232E-4</v>
      </c>
      <c r="P128" s="379">
        <v>3497</v>
      </c>
      <c r="Q128" s="244">
        <f t="shared" si="103"/>
        <v>7.1936733525109766E-4</v>
      </c>
      <c r="R128" s="427">
        <v>383</v>
      </c>
      <c r="S128" s="428">
        <f t="shared" si="104"/>
        <v>7.1087465609350438E-5</v>
      </c>
      <c r="T128" s="564">
        <v>4830</v>
      </c>
      <c r="U128" s="505">
        <f t="shared" si="105"/>
        <v>1.0714770588553697E-3</v>
      </c>
      <c r="V128" s="537">
        <v>4000</v>
      </c>
      <c r="W128" s="505">
        <f t="shared" si="106"/>
        <v>7.5471698113207543E-4</v>
      </c>
      <c r="X128" s="585">
        <v>4000</v>
      </c>
      <c r="Y128" s="428">
        <f t="shared" si="107"/>
        <v>7.5471698113207543E-4</v>
      </c>
      <c r="Z128" s="520">
        <f t="shared" si="108"/>
        <v>0</v>
      </c>
      <c r="AA128" s="573">
        <f t="shared" si="111"/>
        <v>4100</v>
      </c>
      <c r="AB128" s="505">
        <f t="shared" si="109"/>
        <v>7.4545454545454546E-4</v>
      </c>
      <c r="AC128" s="529">
        <f t="shared" si="65"/>
        <v>2.5000000000000001E-2</v>
      </c>
      <c r="AD128" s="427">
        <f t="shared" si="112"/>
        <v>4200</v>
      </c>
      <c r="AE128" s="428">
        <f t="shared" si="110"/>
        <v>7.2413793103448271E-4</v>
      </c>
      <c r="AF128" s="520">
        <f t="shared" si="66"/>
        <v>2.4400000000000002E-2</v>
      </c>
    </row>
    <row r="129" spans="1:32" ht="18" hidden="1" customHeight="1" x14ac:dyDescent="0.25">
      <c r="A129" s="101">
        <v>14</v>
      </c>
      <c r="B129" s="104" t="s">
        <v>98</v>
      </c>
      <c r="C129" s="75" t="s">
        <v>24</v>
      </c>
      <c r="D129" s="53">
        <v>26692</v>
      </c>
      <c r="E129" s="54">
        <f t="shared" si="97"/>
        <v>5.0706359034106852E-3</v>
      </c>
      <c r="F129" s="165">
        <v>52007</v>
      </c>
      <c r="G129" s="164">
        <f t="shared" si="98"/>
        <v>1.0173256582531466E-2</v>
      </c>
      <c r="H129" s="125">
        <v>19742</v>
      </c>
      <c r="I129" s="54">
        <f t="shared" si="99"/>
        <v>3.6190644144703183E-3</v>
      </c>
      <c r="J129" s="165">
        <v>16266</v>
      </c>
      <c r="K129" s="164">
        <f t="shared" si="100"/>
        <v>2.910843473534964E-3</v>
      </c>
      <c r="L129" s="329">
        <v>10338</v>
      </c>
      <c r="M129" s="211">
        <f t="shared" si="101"/>
        <v>2.0146925615788891E-3</v>
      </c>
      <c r="N129" s="243">
        <v>9565</v>
      </c>
      <c r="O129" s="244">
        <f t="shared" si="102"/>
        <v>1.8083162127789821E-3</v>
      </c>
      <c r="P129" s="379">
        <v>10617</v>
      </c>
      <c r="Q129" s="244">
        <f t="shared" si="103"/>
        <v>2.1840214464858175E-3</v>
      </c>
      <c r="R129" s="427">
        <v>7740</v>
      </c>
      <c r="S129" s="428">
        <f t="shared" si="104"/>
        <v>1.4365978689722515E-3</v>
      </c>
      <c r="T129" s="564">
        <v>4559</v>
      </c>
      <c r="U129" s="505">
        <f t="shared" si="105"/>
        <v>1.0113589878512693E-3</v>
      </c>
      <c r="V129" s="537">
        <v>6000</v>
      </c>
      <c r="W129" s="505">
        <f t="shared" si="106"/>
        <v>1.1320754716981133E-3</v>
      </c>
      <c r="X129" s="585">
        <v>6000</v>
      </c>
      <c r="Y129" s="428">
        <f t="shared" si="107"/>
        <v>1.1320754716981133E-3</v>
      </c>
      <c r="Z129" s="520">
        <f t="shared" si="108"/>
        <v>0</v>
      </c>
      <c r="AA129" s="573">
        <f t="shared" si="111"/>
        <v>6150</v>
      </c>
      <c r="AB129" s="505">
        <f t="shared" si="109"/>
        <v>1.1181818181818181E-3</v>
      </c>
      <c r="AC129" s="529">
        <f t="shared" si="65"/>
        <v>2.5000000000000001E-2</v>
      </c>
      <c r="AD129" s="427">
        <f t="shared" si="112"/>
        <v>6300</v>
      </c>
      <c r="AE129" s="428">
        <f t="shared" si="110"/>
        <v>1.0862068965517241E-3</v>
      </c>
      <c r="AF129" s="520">
        <f t="shared" si="66"/>
        <v>2.4400000000000002E-2</v>
      </c>
    </row>
    <row r="130" spans="1:32" ht="18" hidden="1" customHeight="1" x14ac:dyDescent="0.25">
      <c r="A130" s="103">
        <v>15</v>
      </c>
      <c r="B130" s="104" t="s">
        <v>346</v>
      </c>
      <c r="C130" s="75" t="s">
        <v>347</v>
      </c>
      <c r="D130" s="53">
        <v>0</v>
      </c>
      <c r="E130" s="54">
        <f t="shared" si="97"/>
        <v>0</v>
      </c>
      <c r="F130" s="165">
        <v>0</v>
      </c>
      <c r="G130" s="164">
        <f t="shared" si="98"/>
        <v>0</v>
      </c>
      <c r="H130" s="125">
        <v>0</v>
      </c>
      <c r="I130" s="54">
        <f t="shared" si="99"/>
        <v>0</v>
      </c>
      <c r="J130" s="165">
        <v>0</v>
      </c>
      <c r="K130" s="164">
        <f t="shared" si="100"/>
        <v>0</v>
      </c>
      <c r="L130" s="329">
        <v>113310</v>
      </c>
      <c r="M130" s="211">
        <f t="shared" si="101"/>
        <v>2.2082106224850448E-2</v>
      </c>
      <c r="N130" s="243">
        <v>121515</v>
      </c>
      <c r="O130" s="244">
        <f t="shared" si="102"/>
        <v>2.2973083596010246E-2</v>
      </c>
      <c r="P130" s="379">
        <v>0</v>
      </c>
      <c r="Q130" s="244">
        <f t="shared" si="103"/>
        <v>0</v>
      </c>
      <c r="R130" s="427">
        <v>0</v>
      </c>
      <c r="S130" s="428">
        <f t="shared" si="104"/>
        <v>0</v>
      </c>
      <c r="T130" s="564">
        <v>0</v>
      </c>
      <c r="U130" s="505">
        <f t="shared" si="105"/>
        <v>0</v>
      </c>
      <c r="V130" s="537">
        <v>0</v>
      </c>
      <c r="W130" s="505">
        <f t="shared" si="106"/>
        <v>0</v>
      </c>
      <c r="X130" s="586">
        <v>0</v>
      </c>
      <c r="Y130" s="428">
        <f t="shared" si="107"/>
        <v>0</v>
      </c>
      <c r="Z130" s="520" t="e">
        <f t="shared" si="108"/>
        <v>#DIV/0!</v>
      </c>
      <c r="AA130" s="573">
        <f t="shared" si="111"/>
        <v>0</v>
      </c>
      <c r="AB130" s="505">
        <f t="shared" si="109"/>
        <v>0</v>
      </c>
      <c r="AC130" s="529" t="e">
        <f t="shared" si="65"/>
        <v>#DIV/0!</v>
      </c>
      <c r="AD130" s="427">
        <f t="shared" si="112"/>
        <v>0</v>
      </c>
      <c r="AE130" s="428">
        <f t="shared" si="110"/>
        <v>0</v>
      </c>
      <c r="AF130" s="520" t="e">
        <f t="shared" si="66"/>
        <v>#DIV/0!</v>
      </c>
    </row>
    <row r="131" spans="1:32" ht="18" hidden="1" customHeight="1" x14ac:dyDescent="0.25">
      <c r="A131" s="101">
        <v>16</v>
      </c>
      <c r="B131" s="104" t="s">
        <v>99</v>
      </c>
      <c r="C131" s="75" t="s">
        <v>245</v>
      </c>
      <c r="D131" s="53">
        <v>7711</v>
      </c>
      <c r="E131" s="54">
        <f t="shared" si="97"/>
        <v>1.4648461505769443E-3</v>
      </c>
      <c r="F131" s="165">
        <v>7797</v>
      </c>
      <c r="G131" s="164">
        <f t="shared" si="98"/>
        <v>1.5251962538504016E-3</v>
      </c>
      <c r="H131" s="125">
        <v>8020</v>
      </c>
      <c r="I131" s="54">
        <f t="shared" si="99"/>
        <v>1.4702105462492123E-3</v>
      </c>
      <c r="J131" s="165">
        <v>6286</v>
      </c>
      <c r="K131" s="164">
        <f t="shared" si="100"/>
        <v>1.1248962298438941E-3</v>
      </c>
      <c r="L131" s="329">
        <v>7511</v>
      </c>
      <c r="M131" s="211">
        <f t="shared" si="101"/>
        <v>1.4637604788178599E-3</v>
      </c>
      <c r="N131" s="243">
        <v>4544</v>
      </c>
      <c r="O131" s="244">
        <f t="shared" si="102"/>
        <v>8.5906836078073129E-4</v>
      </c>
      <c r="P131" s="379">
        <v>6940</v>
      </c>
      <c r="Q131" s="244">
        <f t="shared" si="103"/>
        <v>1.4276263387596848E-3</v>
      </c>
      <c r="R131" s="427">
        <v>4938</v>
      </c>
      <c r="S131" s="428">
        <f t="shared" si="104"/>
        <v>9.1652716756911862E-4</v>
      </c>
      <c r="T131" s="564">
        <v>11288</v>
      </c>
      <c r="U131" s="505">
        <f t="shared" si="105"/>
        <v>2.5041062195361105E-3</v>
      </c>
      <c r="V131" s="537">
        <v>13000</v>
      </c>
      <c r="W131" s="505">
        <f t="shared" si="106"/>
        <v>2.4528301886792454E-3</v>
      </c>
      <c r="X131" s="586">
        <v>13000</v>
      </c>
      <c r="Y131" s="428">
        <f t="shared" si="107"/>
        <v>2.4528301886792454E-3</v>
      </c>
      <c r="Z131" s="520">
        <f t="shared" si="108"/>
        <v>0</v>
      </c>
      <c r="AA131" s="573">
        <f t="shared" si="111"/>
        <v>13330</v>
      </c>
      <c r="AB131" s="505">
        <f t="shared" si="109"/>
        <v>2.4236363636363635E-3</v>
      </c>
      <c r="AC131" s="529">
        <f t="shared" si="65"/>
        <v>2.5399999999999999E-2</v>
      </c>
      <c r="AD131" s="427">
        <f t="shared" si="112"/>
        <v>13660</v>
      </c>
      <c r="AE131" s="428">
        <f t="shared" si="110"/>
        <v>2.3551724137931035E-3</v>
      </c>
      <c r="AF131" s="520">
        <f t="shared" si="66"/>
        <v>2.4799999999999999E-2</v>
      </c>
    </row>
    <row r="132" spans="1:32" ht="18" hidden="1" customHeight="1" x14ac:dyDescent="0.25">
      <c r="A132" s="101">
        <v>17</v>
      </c>
      <c r="B132" s="104" t="s">
        <v>112</v>
      </c>
      <c r="C132" s="75" t="s">
        <v>376</v>
      </c>
      <c r="D132" s="53">
        <v>4791</v>
      </c>
      <c r="E132" s="54">
        <f t="shared" si="97"/>
        <v>9.1013849142966411E-4</v>
      </c>
      <c r="F132" s="165">
        <v>3920</v>
      </c>
      <c r="G132" s="164">
        <f t="shared" si="98"/>
        <v>7.6680381109318647E-4</v>
      </c>
      <c r="H132" s="125">
        <v>4027</v>
      </c>
      <c r="I132" s="54">
        <f t="shared" si="99"/>
        <v>7.3822167951939882E-4</v>
      </c>
      <c r="J132" s="165">
        <v>4958</v>
      </c>
      <c r="K132" s="164">
        <f t="shared" si="100"/>
        <v>8.8724713769742722E-4</v>
      </c>
      <c r="L132" s="329">
        <v>4082</v>
      </c>
      <c r="M132" s="211">
        <f t="shared" si="101"/>
        <v>7.9550928964645246E-4</v>
      </c>
      <c r="N132" s="243">
        <v>5809</v>
      </c>
      <c r="O132" s="244">
        <f t="shared" si="102"/>
        <v>1.0982236152674446E-3</v>
      </c>
      <c r="P132" s="379">
        <v>6565</v>
      </c>
      <c r="Q132" s="244">
        <f t="shared" si="103"/>
        <v>1.3504851461033618E-3</v>
      </c>
      <c r="R132" s="427">
        <v>3984</v>
      </c>
      <c r="S132" s="428">
        <f t="shared" si="104"/>
        <v>7.3945812790509691E-4</v>
      </c>
      <c r="T132" s="564">
        <v>5532</v>
      </c>
      <c r="U132" s="505">
        <f t="shared" si="105"/>
        <v>1.2272072649250321E-3</v>
      </c>
      <c r="V132" s="537">
        <v>7000</v>
      </c>
      <c r="W132" s="505">
        <f t="shared" si="106"/>
        <v>1.3207547169811322E-3</v>
      </c>
      <c r="X132" s="586">
        <v>7000</v>
      </c>
      <c r="Y132" s="428">
        <f t="shared" si="107"/>
        <v>1.3207547169811322E-3</v>
      </c>
      <c r="Z132" s="520">
        <f t="shared" si="108"/>
        <v>0</v>
      </c>
      <c r="AA132" s="573">
        <f t="shared" si="111"/>
        <v>7180</v>
      </c>
      <c r="AB132" s="505">
        <f t="shared" si="109"/>
        <v>1.3054545454545454E-3</v>
      </c>
      <c r="AC132" s="529">
        <f t="shared" ref="AC132:AC195" si="113">ROUND((AA132-X132)/X132,4)</f>
        <v>2.5700000000000001E-2</v>
      </c>
      <c r="AD132" s="427">
        <f t="shared" si="112"/>
        <v>7360</v>
      </c>
      <c r="AE132" s="428">
        <f t="shared" si="110"/>
        <v>1.2689655172413792E-3</v>
      </c>
      <c r="AF132" s="520">
        <f t="shared" ref="AF132:AF195" si="114">ROUND((AD132-AA132)/AA132,4)</f>
        <v>2.5100000000000001E-2</v>
      </c>
    </row>
    <row r="133" spans="1:32" ht="18" hidden="1" customHeight="1" x14ac:dyDescent="0.25">
      <c r="A133" s="101">
        <v>18</v>
      </c>
      <c r="B133" s="104" t="s">
        <v>100</v>
      </c>
      <c r="C133" s="75" t="s">
        <v>246</v>
      </c>
      <c r="D133" s="53">
        <v>6212</v>
      </c>
      <c r="E133" s="54">
        <f t="shared" si="97"/>
        <v>1.1800835543229124E-3</v>
      </c>
      <c r="F133" s="165">
        <v>7690</v>
      </c>
      <c r="G133" s="164">
        <f t="shared" si="98"/>
        <v>1.5042656396190314E-3</v>
      </c>
      <c r="H133" s="125">
        <v>21098</v>
      </c>
      <c r="I133" s="54">
        <f t="shared" si="99"/>
        <v>3.8676436539608334E-3</v>
      </c>
      <c r="J133" s="165">
        <v>13631</v>
      </c>
      <c r="K133" s="164">
        <f t="shared" si="100"/>
        <v>2.4393032944642259E-3</v>
      </c>
      <c r="L133" s="329">
        <v>5075</v>
      </c>
      <c r="M133" s="211">
        <f t="shared" si="101"/>
        <v>9.8902735055260817E-4</v>
      </c>
      <c r="N133" s="243">
        <v>9835</v>
      </c>
      <c r="O133" s="244">
        <f t="shared" si="102"/>
        <v>1.8593612078077668E-3</v>
      </c>
      <c r="P133" s="379">
        <v>13303</v>
      </c>
      <c r="Q133" s="244">
        <f t="shared" si="103"/>
        <v>2.736558095752174E-3</v>
      </c>
      <c r="R133" s="427">
        <v>5573</v>
      </c>
      <c r="S133" s="428">
        <f t="shared" si="104"/>
        <v>1.0343875870519842E-3</v>
      </c>
      <c r="T133" s="564">
        <v>3387</v>
      </c>
      <c r="U133" s="505">
        <f t="shared" si="105"/>
        <v>7.5136496860106353E-4</v>
      </c>
      <c r="V133" s="537">
        <v>14000</v>
      </c>
      <c r="W133" s="505">
        <f t="shared" si="106"/>
        <v>2.6415094339622643E-3</v>
      </c>
      <c r="X133" s="586">
        <v>14000</v>
      </c>
      <c r="Y133" s="428">
        <f t="shared" si="107"/>
        <v>2.6415094339622643E-3</v>
      </c>
      <c r="Z133" s="520">
        <f t="shared" si="108"/>
        <v>0</v>
      </c>
      <c r="AA133" s="573">
        <f t="shared" si="111"/>
        <v>14350</v>
      </c>
      <c r="AB133" s="505">
        <f t="shared" si="109"/>
        <v>2.609090909090909E-3</v>
      </c>
      <c r="AC133" s="529">
        <f t="shared" si="113"/>
        <v>2.5000000000000001E-2</v>
      </c>
      <c r="AD133" s="427">
        <f t="shared" si="112"/>
        <v>14710</v>
      </c>
      <c r="AE133" s="428">
        <f t="shared" si="110"/>
        <v>2.536206896551724E-3</v>
      </c>
      <c r="AF133" s="520">
        <f t="shared" si="114"/>
        <v>2.5100000000000001E-2</v>
      </c>
    </row>
    <row r="134" spans="1:32" ht="18" hidden="1" customHeight="1" x14ac:dyDescent="0.25">
      <c r="A134" s="103">
        <v>19</v>
      </c>
      <c r="B134" s="104" t="s">
        <v>101</v>
      </c>
      <c r="C134" s="75" t="s">
        <v>247</v>
      </c>
      <c r="D134" s="53">
        <v>3465</v>
      </c>
      <c r="E134" s="54">
        <f t="shared" si="97"/>
        <v>6.5824042429634441E-4</v>
      </c>
      <c r="F134" s="165">
        <v>3457</v>
      </c>
      <c r="G134" s="164">
        <f t="shared" si="98"/>
        <v>6.7623489156865956E-4</v>
      </c>
      <c r="H134" s="125">
        <v>8895</v>
      </c>
      <c r="I134" s="54">
        <f t="shared" si="99"/>
        <v>1.6306138165694194E-3</v>
      </c>
      <c r="J134" s="165">
        <v>5623</v>
      </c>
      <c r="K134" s="164">
        <f t="shared" si="100"/>
        <v>1.0062506364002892E-3</v>
      </c>
      <c r="L134" s="329">
        <v>3446</v>
      </c>
      <c r="M134" s="211">
        <f t="shared" si="101"/>
        <v>6.7156418719296299E-4</v>
      </c>
      <c r="N134" s="243">
        <v>2950</v>
      </c>
      <c r="O134" s="244">
        <f t="shared" si="102"/>
        <v>5.5771383457375824E-4</v>
      </c>
      <c r="P134" s="379">
        <v>5533</v>
      </c>
      <c r="Q134" s="244">
        <f t="shared" si="103"/>
        <v>1.1381925839131608E-3</v>
      </c>
      <c r="R134" s="427">
        <v>4346</v>
      </c>
      <c r="S134" s="428">
        <f t="shared" si="104"/>
        <v>8.0664784735832106E-4</v>
      </c>
      <c r="T134" s="564">
        <v>5676</v>
      </c>
      <c r="U134" s="505">
        <f t="shared" si="105"/>
        <v>1.2591519225803474E-3</v>
      </c>
      <c r="V134" s="537">
        <v>14000</v>
      </c>
      <c r="W134" s="505">
        <f t="shared" si="106"/>
        <v>2.6415094339622643E-3</v>
      </c>
      <c r="X134" s="586">
        <v>14000</v>
      </c>
      <c r="Y134" s="428">
        <f t="shared" si="107"/>
        <v>2.6415094339622643E-3</v>
      </c>
      <c r="Z134" s="520">
        <f t="shared" si="108"/>
        <v>0</v>
      </c>
      <c r="AA134" s="573">
        <f t="shared" si="111"/>
        <v>14350</v>
      </c>
      <c r="AB134" s="505">
        <f t="shared" si="109"/>
        <v>2.609090909090909E-3</v>
      </c>
      <c r="AC134" s="529">
        <f t="shared" si="113"/>
        <v>2.5000000000000001E-2</v>
      </c>
      <c r="AD134" s="427">
        <f t="shared" si="112"/>
        <v>14710</v>
      </c>
      <c r="AE134" s="428">
        <f t="shared" si="110"/>
        <v>2.536206896551724E-3</v>
      </c>
      <c r="AF134" s="520">
        <f t="shared" si="114"/>
        <v>2.5100000000000001E-2</v>
      </c>
    </row>
    <row r="135" spans="1:32" ht="18" hidden="1" customHeight="1" x14ac:dyDescent="0.25">
      <c r="A135" s="101">
        <v>20</v>
      </c>
      <c r="B135" s="104" t="s">
        <v>102</v>
      </c>
      <c r="C135" s="75" t="s">
        <v>248</v>
      </c>
      <c r="D135" s="53">
        <v>184475</v>
      </c>
      <c r="E135" s="54">
        <f t="shared" si="97"/>
        <v>3.5044416240135101E-2</v>
      </c>
      <c r="F135" s="165">
        <v>147098</v>
      </c>
      <c r="G135" s="164">
        <f t="shared" si="98"/>
        <v>2.877431301127182E-2</v>
      </c>
      <c r="H135" s="125">
        <v>196958</v>
      </c>
      <c r="I135" s="54">
        <f t="shared" si="99"/>
        <v>3.6105951217974115E-2</v>
      </c>
      <c r="J135" s="165">
        <v>160712</v>
      </c>
      <c r="K135" s="164">
        <f t="shared" si="100"/>
        <v>2.8759835012833589E-2</v>
      </c>
      <c r="L135" s="329">
        <v>93853</v>
      </c>
      <c r="M135" s="211">
        <f t="shared" si="101"/>
        <v>1.8290282548061858E-2</v>
      </c>
      <c r="N135" s="243">
        <v>101105</v>
      </c>
      <c r="O135" s="244">
        <f t="shared" si="102"/>
        <v>1.9114460082908416E-2</v>
      </c>
      <c r="P135" s="379">
        <v>138715</v>
      </c>
      <c r="Q135" s="244">
        <f t="shared" si="103"/>
        <v>2.8535041438191598E-2</v>
      </c>
      <c r="R135" s="427">
        <v>114394</v>
      </c>
      <c r="S135" s="428">
        <f t="shared" si="104"/>
        <v>2.1232322561138467E-2</v>
      </c>
      <c r="T135" s="564">
        <v>123444</v>
      </c>
      <c r="U135" s="505">
        <f t="shared" si="105"/>
        <v>2.7384557775019101E-2</v>
      </c>
      <c r="V135" s="537">
        <v>135000</v>
      </c>
      <c r="W135" s="505">
        <f t="shared" si="106"/>
        <v>2.5471698113207548E-2</v>
      </c>
      <c r="X135" s="586">
        <v>135000</v>
      </c>
      <c r="Y135" s="428">
        <f t="shared" si="107"/>
        <v>2.5471698113207548E-2</v>
      </c>
      <c r="Z135" s="520">
        <f t="shared" si="108"/>
        <v>0</v>
      </c>
      <c r="AA135" s="573">
        <f t="shared" si="111"/>
        <v>138380</v>
      </c>
      <c r="AB135" s="505">
        <f t="shared" si="109"/>
        <v>2.5159999999999998E-2</v>
      </c>
      <c r="AC135" s="529">
        <f t="shared" si="113"/>
        <v>2.5000000000000001E-2</v>
      </c>
      <c r="AD135" s="427">
        <f t="shared" si="112"/>
        <v>141840</v>
      </c>
      <c r="AE135" s="428">
        <f t="shared" si="110"/>
        <v>2.4455172413793105E-2</v>
      </c>
      <c r="AF135" s="520">
        <f t="shared" si="114"/>
        <v>2.5000000000000001E-2</v>
      </c>
    </row>
    <row r="136" spans="1:32" ht="18" hidden="1" customHeight="1" x14ac:dyDescent="0.25">
      <c r="A136" s="101">
        <v>21</v>
      </c>
      <c r="B136" s="104" t="s">
        <v>331</v>
      </c>
      <c r="C136" s="75" t="s">
        <v>348</v>
      </c>
      <c r="D136" s="53">
        <v>6129</v>
      </c>
      <c r="E136" s="54">
        <f t="shared" si="97"/>
        <v>1.1643161790800274E-3</v>
      </c>
      <c r="F136" s="165">
        <v>6667</v>
      </c>
      <c r="G136" s="164">
        <f t="shared" si="98"/>
        <v>1.3041533185097637E-3</v>
      </c>
      <c r="H136" s="125">
        <v>5914</v>
      </c>
      <c r="I136" s="54">
        <f t="shared" si="99"/>
        <v>1.0841427893413769E-3</v>
      </c>
      <c r="J136" s="165">
        <v>10021</v>
      </c>
      <c r="K136" s="164">
        <f t="shared" si="100"/>
        <v>1.7932843015058327E-3</v>
      </c>
      <c r="L136" s="329">
        <v>4032</v>
      </c>
      <c r="M136" s="211">
        <f t="shared" si="101"/>
        <v>7.8576517781834795E-4</v>
      </c>
      <c r="N136" s="243">
        <v>2608</v>
      </c>
      <c r="O136" s="244">
        <f t="shared" si="102"/>
        <v>4.9305684087063101E-4</v>
      </c>
      <c r="P136" s="379">
        <v>1896</v>
      </c>
      <c r="Q136" s="244">
        <f t="shared" si="103"/>
        <v>3.9002587007036922E-4</v>
      </c>
      <c r="R136" s="427">
        <v>1860</v>
      </c>
      <c r="S136" s="428">
        <f t="shared" si="104"/>
        <v>3.4522894525689765E-4</v>
      </c>
      <c r="T136" s="564">
        <v>1432</v>
      </c>
      <c r="U136" s="505">
        <f t="shared" si="105"/>
        <v>3.1767187335008062E-4</v>
      </c>
      <c r="V136" s="537">
        <v>3000</v>
      </c>
      <c r="W136" s="505">
        <f t="shared" si="106"/>
        <v>5.6603773584905663E-4</v>
      </c>
      <c r="X136" s="586">
        <v>3000</v>
      </c>
      <c r="Y136" s="428">
        <f t="shared" si="107"/>
        <v>5.6603773584905663E-4</v>
      </c>
      <c r="Z136" s="520">
        <f t="shared" si="108"/>
        <v>0</v>
      </c>
      <c r="AA136" s="573">
        <f t="shared" si="111"/>
        <v>3080</v>
      </c>
      <c r="AB136" s="505">
        <f t="shared" si="109"/>
        <v>5.5999999999999995E-4</v>
      </c>
      <c r="AC136" s="529">
        <f t="shared" si="113"/>
        <v>2.6700000000000002E-2</v>
      </c>
      <c r="AD136" s="427">
        <f t="shared" si="112"/>
        <v>3160</v>
      </c>
      <c r="AE136" s="428">
        <f t="shared" si="110"/>
        <v>5.4482758620689651E-4</v>
      </c>
      <c r="AF136" s="520">
        <f t="shared" si="114"/>
        <v>2.5999999999999999E-2</v>
      </c>
    </row>
    <row r="137" spans="1:32" ht="18" hidden="1" customHeight="1" x14ac:dyDescent="0.25">
      <c r="A137" s="101">
        <v>22</v>
      </c>
      <c r="B137" s="104" t="s">
        <v>103</v>
      </c>
      <c r="C137" s="75" t="s">
        <v>321</v>
      </c>
      <c r="D137" s="53">
        <v>16016</v>
      </c>
      <c r="E137" s="54">
        <f t="shared" si="97"/>
        <v>3.0425335167475476E-3</v>
      </c>
      <c r="F137" s="165">
        <v>16359</v>
      </c>
      <c r="G137" s="164">
        <f t="shared" si="98"/>
        <v>3.200036618794244E-3</v>
      </c>
      <c r="H137" s="125">
        <v>16831</v>
      </c>
      <c r="I137" s="54">
        <f t="shared" si="99"/>
        <v>3.0854256488678919E-3</v>
      </c>
      <c r="J137" s="165">
        <v>16347</v>
      </c>
      <c r="K137" s="164">
        <f t="shared" si="100"/>
        <v>2.9253386365348617E-3</v>
      </c>
      <c r="L137" s="329">
        <v>16044</v>
      </c>
      <c r="M137" s="211">
        <f t="shared" si="101"/>
        <v>3.126690603402176E-3</v>
      </c>
      <c r="N137" s="243">
        <v>14324</v>
      </c>
      <c r="O137" s="244">
        <f t="shared" si="102"/>
        <v>2.7080315140455974E-3</v>
      </c>
      <c r="P137" s="379">
        <v>13864</v>
      </c>
      <c r="Q137" s="244">
        <f t="shared" si="103"/>
        <v>2.8519613199660333E-3</v>
      </c>
      <c r="R137" s="427">
        <v>15326</v>
      </c>
      <c r="S137" s="428">
        <f t="shared" si="104"/>
        <v>2.8446122661329107E-3</v>
      </c>
      <c r="T137" s="564">
        <v>12475</v>
      </c>
      <c r="U137" s="505">
        <f t="shared" si="105"/>
        <v>2.7674278072920781E-3</v>
      </c>
      <c r="V137" s="537">
        <v>14000</v>
      </c>
      <c r="W137" s="505">
        <f t="shared" si="106"/>
        <v>2.6415094339622643E-3</v>
      </c>
      <c r="X137" s="586">
        <v>14000</v>
      </c>
      <c r="Y137" s="428">
        <f t="shared" si="107"/>
        <v>2.6415094339622643E-3</v>
      </c>
      <c r="Z137" s="520">
        <f t="shared" si="108"/>
        <v>0</v>
      </c>
      <c r="AA137" s="573">
        <f t="shared" si="111"/>
        <v>14350</v>
      </c>
      <c r="AB137" s="505">
        <f t="shared" si="109"/>
        <v>2.609090909090909E-3</v>
      </c>
      <c r="AC137" s="529">
        <f t="shared" si="113"/>
        <v>2.5000000000000001E-2</v>
      </c>
      <c r="AD137" s="427">
        <f t="shared" si="112"/>
        <v>14710</v>
      </c>
      <c r="AE137" s="428">
        <f t="shared" si="110"/>
        <v>2.536206896551724E-3</v>
      </c>
      <c r="AF137" s="520">
        <f t="shared" si="114"/>
        <v>2.5100000000000001E-2</v>
      </c>
    </row>
    <row r="138" spans="1:32" ht="18" hidden="1" customHeight="1" x14ac:dyDescent="0.25">
      <c r="A138" s="103">
        <v>23</v>
      </c>
      <c r="B138" s="104" t="s">
        <v>104</v>
      </c>
      <c r="C138" s="75" t="s">
        <v>249</v>
      </c>
      <c r="D138" s="53">
        <f>15297+448</f>
        <v>15745</v>
      </c>
      <c r="E138" s="54">
        <f t="shared" si="97"/>
        <v>2.9910520867376458E-3</v>
      </c>
      <c r="F138" s="165">
        <f>16019+214</f>
        <v>16233</v>
      </c>
      <c r="G138" s="164">
        <f t="shared" si="98"/>
        <v>3.1753893534376774E-3</v>
      </c>
      <c r="H138" s="125">
        <f>16511+54</f>
        <v>16565</v>
      </c>
      <c r="I138" s="54">
        <f t="shared" si="99"/>
        <v>3.0366630546905492E-3</v>
      </c>
      <c r="J138" s="165">
        <f>16838+28</f>
        <v>16866</v>
      </c>
      <c r="K138" s="164">
        <f t="shared" si="100"/>
        <v>3.0182150513119823E-3</v>
      </c>
      <c r="L138" s="329">
        <f>18006+60</f>
        <v>18066</v>
      </c>
      <c r="M138" s="211">
        <f t="shared" si="101"/>
        <v>3.5207424857307225E-3</v>
      </c>
      <c r="N138" s="243">
        <v>18489</v>
      </c>
      <c r="O138" s="244">
        <f t="shared" si="102"/>
        <v>3.4954478262488866E-3</v>
      </c>
      <c r="P138" s="379">
        <f>15884+25</f>
        <v>15909</v>
      </c>
      <c r="Q138" s="244">
        <f t="shared" si="103"/>
        <v>3.2726379572518482E-3</v>
      </c>
      <c r="R138" s="427">
        <v>16776</v>
      </c>
      <c r="S138" s="428">
        <f t="shared" si="104"/>
        <v>3.1137423578654383E-3</v>
      </c>
      <c r="T138" s="564">
        <v>6366</v>
      </c>
      <c r="U138" s="505">
        <f t="shared" si="105"/>
        <v>1.4122200738454003E-3</v>
      </c>
      <c r="V138" s="537">
        <v>15500</v>
      </c>
      <c r="W138" s="505">
        <f t="shared" si="106"/>
        <v>2.9245283018867925E-3</v>
      </c>
      <c r="X138" s="586">
        <v>15500</v>
      </c>
      <c r="Y138" s="428">
        <f t="shared" si="107"/>
        <v>2.9245283018867925E-3</v>
      </c>
      <c r="Z138" s="520">
        <f t="shared" si="108"/>
        <v>0</v>
      </c>
      <c r="AA138" s="573">
        <f t="shared" si="111"/>
        <v>15890</v>
      </c>
      <c r="AB138" s="505">
        <f t="shared" si="109"/>
        <v>2.8890909090909093E-3</v>
      </c>
      <c r="AC138" s="529">
        <f t="shared" si="113"/>
        <v>2.52E-2</v>
      </c>
      <c r="AD138" s="427">
        <f t="shared" si="112"/>
        <v>16290</v>
      </c>
      <c r="AE138" s="428">
        <f t="shared" si="110"/>
        <v>2.8086206896551723E-3</v>
      </c>
      <c r="AF138" s="520">
        <f t="shared" si="114"/>
        <v>2.52E-2</v>
      </c>
    </row>
    <row r="139" spans="1:32" ht="18" hidden="1" customHeight="1" x14ac:dyDescent="0.25">
      <c r="A139" s="101">
        <v>24</v>
      </c>
      <c r="B139" s="104" t="s">
        <v>105</v>
      </c>
      <c r="C139" s="75" t="s">
        <v>250</v>
      </c>
      <c r="D139" s="53">
        <v>6984</v>
      </c>
      <c r="E139" s="54">
        <f t="shared" si="97"/>
        <v>1.3267391409193851E-3</v>
      </c>
      <c r="F139" s="165">
        <v>5390</v>
      </c>
      <c r="G139" s="164">
        <f t="shared" si="98"/>
        <v>1.0543552402531313E-3</v>
      </c>
      <c r="H139" s="125">
        <v>5772</v>
      </c>
      <c r="I139" s="54">
        <f t="shared" si="99"/>
        <v>1.0581116300436976E-3</v>
      </c>
      <c r="J139" s="165">
        <v>6197</v>
      </c>
      <c r="K139" s="164">
        <f t="shared" si="100"/>
        <v>1.1089694458069699E-3</v>
      </c>
      <c r="L139" s="329">
        <v>6409</v>
      </c>
      <c r="M139" s="211">
        <f t="shared" si="101"/>
        <v>1.2490002541264366E-3</v>
      </c>
      <c r="N139" s="243">
        <v>5697</v>
      </c>
      <c r="O139" s="244">
        <f t="shared" si="102"/>
        <v>1.0770493951073562E-3</v>
      </c>
      <c r="P139" s="379">
        <v>4830</v>
      </c>
      <c r="Q139" s="244">
        <f t="shared" si="103"/>
        <v>9.9357856141344065E-4</v>
      </c>
      <c r="R139" s="427">
        <v>5646</v>
      </c>
      <c r="S139" s="428">
        <f t="shared" si="104"/>
        <v>1.0479368951185183E-3</v>
      </c>
      <c r="T139" s="564">
        <v>4834</v>
      </c>
      <c r="U139" s="505">
        <f t="shared" si="105"/>
        <v>1.0723644104569062E-3</v>
      </c>
      <c r="V139" s="537">
        <v>5000</v>
      </c>
      <c r="W139" s="505">
        <f t="shared" si="106"/>
        <v>9.4339622641509435E-4</v>
      </c>
      <c r="X139" s="586">
        <v>5000</v>
      </c>
      <c r="Y139" s="428">
        <f t="shared" si="107"/>
        <v>9.4339622641509435E-4</v>
      </c>
      <c r="Z139" s="520">
        <f t="shared" si="108"/>
        <v>0</v>
      </c>
      <c r="AA139" s="573">
        <f t="shared" si="111"/>
        <v>5130</v>
      </c>
      <c r="AB139" s="505">
        <f t="shared" si="109"/>
        <v>9.3272727272727268E-4</v>
      </c>
      <c r="AC139" s="529">
        <f t="shared" si="113"/>
        <v>2.5999999999999999E-2</v>
      </c>
      <c r="AD139" s="427">
        <f t="shared" si="112"/>
        <v>5260</v>
      </c>
      <c r="AE139" s="428">
        <f t="shared" si="110"/>
        <v>9.0689655172413797E-4</v>
      </c>
      <c r="AF139" s="520">
        <f t="shared" si="114"/>
        <v>2.53E-2</v>
      </c>
    </row>
    <row r="140" spans="1:32" ht="18" hidden="1" customHeight="1" x14ac:dyDescent="0.25">
      <c r="A140" s="101">
        <v>25</v>
      </c>
      <c r="B140" s="104" t="s">
        <v>106</v>
      </c>
      <c r="C140" s="75" t="s">
        <v>322</v>
      </c>
      <c r="D140" s="53">
        <v>2282</v>
      </c>
      <c r="E140" s="54">
        <f t="shared" si="97"/>
        <v>4.335078349911278E-4</v>
      </c>
      <c r="F140" s="165">
        <v>1099</v>
      </c>
      <c r="G140" s="164">
        <f t="shared" si="98"/>
        <v>2.1497892561005404E-4</v>
      </c>
      <c r="H140" s="125">
        <v>1160</v>
      </c>
      <c r="I140" s="54">
        <f t="shared" si="99"/>
        <v>2.1264890693878884E-4</v>
      </c>
      <c r="J140" s="165">
        <v>2094</v>
      </c>
      <c r="K140" s="164">
        <f t="shared" si="100"/>
        <v>3.7472680644179358E-4</v>
      </c>
      <c r="L140" s="329">
        <v>822</v>
      </c>
      <c r="M140" s="211">
        <f t="shared" si="101"/>
        <v>1.6019319845403819E-4</v>
      </c>
      <c r="N140" s="243">
        <v>1041</v>
      </c>
      <c r="O140" s="244">
        <f t="shared" si="102"/>
        <v>1.9680681416653638E-4</v>
      </c>
      <c r="P140" s="379">
        <v>2989</v>
      </c>
      <c r="Q140" s="244">
        <f t="shared" si="103"/>
        <v>6.1486673293266545E-4</v>
      </c>
      <c r="R140" s="427">
        <v>1021</v>
      </c>
      <c r="S140" s="428">
        <f t="shared" si="104"/>
        <v>1.8950470597166265E-4</v>
      </c>
      <c r="T140" s="564">
        <v>1061</v>
      </c>
      <c r="U140" s="505">
        <f t="shared" si="105"/>
        <v>2.3537001230756671E-4</v>
      </c>
      <c r="V140" s="537">
        <v>1500</v>
      </c>
      <c r="W140" s="505">
        <f t="shared" si="106"/>
        <v>2.8301886792452831E-4</v>
      </c>
      <c r="X140" s="586">
        <v>1500</v>
      </c>
      <c r="Y140" s="428">
        <f t="shared" si="107"/>
        <v>2.8301886792452831E-4</v>
      </c>
      <c r="Z140" s="520">
        <f t="shared" si="108"/>
        <v>0</v>
      </c>
      <c r="AA140" s="573">
        <f t="shared" si="111"/>
        <v>1540</v>
      </c>
      <c r="AB140" s="505">
        <f t="shared" si="109"/>
        <v>2.7999999999999998E-4</v>
      </c>
      <c r="AC140" s="529">
        <f t="shared" si="113"/>
        <v>2.6700000000000002E-2</v>
      </c>
      <c r="AD140" s="427">
        <f t="shared" si="112"/>
        <v>1580</v>
      </c>
      <c r="AE140" s="428">
        <f t="shared" si="110"/>
        <v>2.7241379310344825E-4</v>
      </c>
      <c r="AF140" s="520">
        <f t="shared" si="114"/>
        <v>2.5999999999999999E-2</v>
      </c>
    </row>
    <row r="141" spans="1:32" ht="18" hidden="1" customHeight="1" x14ac:dyDescent="0.25">
      <c r="A141" s="101">
        <v>26</v>
      </c>
      <c r="B141" s="104" t="s">
        <v>107</v>
      </c>
      <c r="C141" s="75" t="s">
        <v>251</v>
      </c>
      <c r="D141" s="53">
        <v>6499</v>
      </c>
      <c r="E141" s="54">
        <f t="shared" si="97"/>
        <v>1.2346044783555388E-3</v>
      </c>
      <c r="F141" s="165">
        <v>7942</v>
      </c>
      <c r="G141" s="164">
        <f t="shared" si="98"/>
        <v>1.5535601703321649E-3</v>
      </c>
      <c r="H141" s="125">
        <v>8457</v>
      </c>
      <c r="I141" s="54">
        <f t="shared" si="99"/>
        <v>1.5503205223977045E-3</v>
      </c>
      <c r="J141" s="165">
        <v>7542</v>
      </c>
      <c r="K141" s="164">
        <f t="shared" si="100"/>
        <v>1.3496607326571191E-3</v>
      </c>
      <c r="L141" s="329">
        <v>8205</v>
      </c>
      <c r="M141" s="211">
        <f t="shared" si="101"/>
        <v>1.5990087509919506E-3</v>
      </c>
      <c r="N141" s="243">
        <v>8293</v>
      </c>
      <c r="O141" s="244">
        <f t="shared" si="102"/>
        <v>1.5678375695322635E-3</v>
      </c>
      <c r="P141" s="379">
        <v>3650</v>
      </c>
      <c r="Q141" s="244">
        <f t="shared" si="103"/>
        <v>7.5084094185487742E-4</v>
      </c>
      <c r="R141" s="427">
        <v>4979</v>
      </c>
      <c r="S141" s="428">
        <f t="shared" ref="S141:S160" si="115">R141/R$12</f>
        <v>9.241370529215556E-4</v>
      </c>
      <c r="T141" s="564">
        <v>6757</v>
      </c>
      <c r="U141" s="505">
        <f t="shared" si="105"/>
        <v>1.4989586928955969E-3</v>
      </c>
      <c r="V141" s="537">
        <v>8000</v>
      </c>
      <c r="W141" s="505">
        <f t="shared" si="106"/>
        <v>1.5094339622641509E-3</v>
      </c>
      <c r="X141" s="586">
        <v>8000</v>
      </c>
      <c r="Y141" s="428">
        <f t="shared" si="107"/>
        <v>1.5094339622641509E-3</v>
      </c>
      <c r="Z141" s="520">
        <f t="shared" si="108"/>
        <v>0</v>
      </c>
      <c r="AA141" s="573">
        <f t="shared" si="111"/>
        <v>8200</v>
      </c>
      <c r="AB141" s="505">
        <f t="shared" si="109"/>
        <v>1.4909090909090909E-3</v>
      </c>
      <c r="AC141" s="529">
        <f t="shared" si="113"/>
        <v>2.5000000000000001E-2</v>
      </c>
      <c r="AD141" s="427">
        <f t="shared" si="112"/>
        <v>8410</v>
      </c>
      <c r="AE141" s="428">
        <f t="shared" si="110"/>
        <v>1.4499999999999999E-3</v>
      </c>
      <c r="AF141" s="520">
        <f t="shared" si="114"/>
        <v>2.5600000000000001E-2</v>
      </c>
    </row>
    <row r="142" spans="1:32" ht="18" hidden="1" customHeight="1" x14ac:dyDescent="0.25">
      <c r="A142" s="103">
        <v>27</v>
      </c>
      <c r="B142" s="104" t="s">
        <v>108</v>
      </c>
      <c r="C142" s="75" t="s">
        <v>252</v>
      </c>
      <c r="D142" s="53">
        <v>8823</v>
      </c>
      <c r="E142" s="54">
        <f t="shared" ref="E142:E160" si="116">D142/D$12</f>
        <v>1.6760909851563195E-3</v>
      </c>
      <c r="F142" s="165">
        <v>9374</v>
      </c>
      <c r="G142" s="164">
        <f t="shared" ref="G142:G160" si="117">F142/F$12</f>
        <v>1.8336782972417167E-3</v>
      </c>
      <c r="H142" s="125">
        <v>9996</v>
      </c>
      <c r="I142" s="54">
        <f t="shared" ref="I142:I160" si="118">H142/H$12</f>
        <v>1.8324469601380458E-3</v>
      </c>
      <c r="J142" s="165">
        <v>10175</v>
      </c>
      <c r="K142" s="164">
        <f t="shared" ref="K142:K160" si="119">J142/J$12</f>
        <v>1.8208430064686008E-3</v>
      </c>
      <c r="L142" s="329">
        <v>10869</v>
      </c>
      <c r="M142" s="211">
        <f t="shared" ref="M142:M160" si="120">L142/L$12</f>
        <v>2.118175029193359E-3</v>
      </c>
      <c r="N142" s="243">
        <v>12066</v>
      </c>
      <c r="O142" s="244">
        <f t="shared" si="102"/>
        <v>2.2811441111752428E-3</v>
      </c>
      <c r="P142" s="379">
        <v>12215</v>
      </c>
      <c r="Q142" s="244">
        <f t="shared" si="103"/>
        <v>2.5127457821252953E-3</v>
      </c>
      <c r="R142" s="427">
        <v>8461</v>
      </c>
      <c r="S142" s="428">
        <f t="shared" si="115"/>
        <v>1.5704204869992533E-3</v>
      </c>
      <c r="T142" s="564">
        <v>8611</v>
      </c>
      <c r="U142" s="505">
        <f t="shared" si="105"/>
        <v>1.9102461602077821E-3</v>
      </c>
      <c r="V142" s="537">
        <v>8500</v>
      </c>
      <c r="W142" s="505">
        <f t="shared" si="106"/>
        <v>1.6037735849056603E-3</v>
      </c>
      <c r="X142" s="586">
        <v>8500</v>
      </c>
      <c r="Y142" s="428">
        <f t="shared" si="107"/>
        <v>1.6037735849056603E-3</v>
      </c>
      <c r="Z142" s="520">
        <f t="shared" si="108"/>
        <v>0</v>
      </c>
      <c r="AA142" s="573">
        <f t="shared" si="111"/>
        <v>8710</v>
      </c>
      <c r="AB142" s="505">
        <f t="shared" si="109"/>
        <v>1.5836363636363637E-3</v>
      </c>
      <c r="AC142" s="529">
        <f t="shared" si="113"/>
        <v>2.47E-2</v>
      </c>
      <c r="AD142" s="427">
        <f t="shared" si="112"/>
        <v>8930</v>
      </c>
      <c r="AE142" s="428">
        <f t="shared" si="110"/>
        <v>1.5396551724137931E-3</v>
      </c>
      <c r="AF142" s="520">
        <f t="shared" si="114"/>
        <v>2.53E-2</v>
      </c>
    </row>
    <row r="143" spans="1:32" ht="18" hidden="1" customHeight="1" x14ac:dyDescent="0.25">
      <c r="A143" s="101">
        <v>28</v>
      </c>
      <c r="B143" s="104" t="s">
        <v>111</v>
      </c>
      <c r="C143" s="75" t="s">
        <v>377</v>
      </c>
      <c r="D143" s="53">
        <v>8825</v>
      </c>
      <c r="E143" s="54">
        <f t="shared" si="116"/>
        <v>1.6764709219091599E-3</v>
      </c>
      <c r="F143" s="165">
        <v>9973</v>
      </c>
      <c r="G143" s="164">
        <f t="shared" si="117"/>
        <v>1.9508506142939665E-3</v>
      </c>
      <c r="H143" s="125">
        <v>9969</v>
      </c>
      <c r="I143" s="54">
        <f t="shared" si="118"/>
        <v>1.8274973735110222E-3</v>
      </c>
      <c r="J143" s="165">
        <v>8428</v>
      </c>
      <c r="K143" s="164">
        <f t="shared" si="119"/>
        <v>1.5082127625078493E-3</v>
      </c>
      <c r="L143" s="329">
        <v>6749</v>
      </c>
      <c r="M143" s="211">
        <f t="shared" si="120"/>
        <v>1.3152602145575472E-3</v>
      </c>
      <c r="N143" s="243">
        <v>8295</v>
      </c>
      <c r="O143" s="244">
        <f t="shared" si="102"/>
        <v>1.5682156806065507E-3</v>
      </c>
      <c r="P143" s="379">
        <v>6943</v>
      </c>
      <c r="Q143" s="244">
        <f t="shared" si="103"/>
        <v>1.4282434683009354E-3</v>
      </c>
      <c r="R143" s="427">
        <v>5078</v>
      </c>
      <c r="S143" s="428">
        <f t="shared" si="115"/>
        <v>9.4251214194329377E-4</v>
      </c>
      <c r="T143" s="564">
        <v>5215</v>
      </c>
      <c r="U143" s="505">
        <f t="shared" si="105"/>
        <v>1.1568846505032615E-3</v>
      </c>
      <c r="V143" s="537">
        <v>7000</v>
      </c>
      <c r="W143" s="505">
        <f t="shared" si="106"/>
        <v>1.3207547169811322E-3</v>
      </c>
      <c r="X143" s="586">
        <v>7000</v>
      </c>
      <c r="Y143" s="428">
        <f t="shared" si="107"/>
        <v>1.3207547169811322E-3</v>
      </c>
      <c r="Z143" s="520">
        <f t="shared" si="108"/>
        <v>0</v>
      </c>
      <c r="AA143" s="573">
        <f t="shared" si="111"/>
        <v>7180</v>
      </c>
      <c r="AB143" s="505">
        <f t="shared" si="109"/>
        <v>1.3054545454545454E-3</v>
      </c>
      <c r="AC143" s="529">
        <f t="shared" si="113"/>
        <v>2.5700000000000001E-2</v>
      </c>
      <c r="AD143" s="427">
        <f t="shared" si="112"/>
        <v>7360</v>
      </c>
      <c r="AE143" s="428">
        <f t="shared" si="110"/>
        <v>1.2689655172413792E-3</v>
      </c>
      <c r="AF143" s="520">
        <f t="shared" si="114"/>
        <v>2.5100000000000001E-2</v>
      </c>
    </row>
    <row r="144" spans="1:32" ht="18" hidden="1" customHeight="1" x14ac:dyDescent="0.25">
      <c r="A144" s="101">
        <v>29</v>
      </c>
      <c r="B144" s="104" t="s">
        <v>109</v>
      </c>
      <c r="C144" s="75" t="s">
        <v>253</v>
      </c>
      <c r="D144" s="53">
        <v>26189</v>
      </c>
      <c r="E144" s="54">
        <f t="shared" si="116"/>
        <v>4.9750818100712741E-3</v>
      </c>
      <c r="F144" s="165">
        <v>24550</v>
      </c>
      <c r="G144" s="164">
        <f t="shared" si="117"/>
        <v>4.8023044801881959E-3</v>
      </c>
      <c r="H144" s="125">
        <v>26186</v>
      </c>
      <c r="I144" s="54">
        <f t="shared" si="118"/>
        <v>4.8003657561199349E-3</v>
      </c>
      <c r="J144" s="165">
        <v>27713</v>
      </c>
      <c r="K144" s="164">
        <f t="shared" si="119"/>
        <v>4.9593142248908432E-3</v>
      </c>
      <c r="L144" s="329">
        <v>20548</v>
      </c>
      <c r="M144" s="211">
        <f t="shared" si="120"/>
        <v>4.0044401968778306E-3</v>
      </c>
      <c r="N144" s="243">
        <v>33800</v>
      </c>
      <c r="O144" s="244">
        <f t="shared" si="102"/>
        <v>6.3900771554552633E-3</v>
      </c>
      <c r="P144" s="379">
        <v>32120</v>
      </c>
      <c r="Q144" s="244">
        <f t="shared" si="103"/>
        <v>6.6074002883229213E-3</v>
      </c>
      <c r="R144" s="427">
        <v>29230</v>
      </c>
      <c r="S144" s="428">
        <f t="shared" si="115"/>
        <v>5.4252914354081284E-3</v>
      </c>
      <c r="T144" s="564">
        <v>23382</v>
      </c>
      <c r="U144" s="505">
        <f t="shared" si="105"/>
        <v>5.1870137867818331E-3</v>
      </c>
      <c r="V144" s="537">
        <v>30000</v>
      </c>
      <c r="W144" s="505">
        <f t="shared" si="106"/>
        <v>5.6603773584905656E-3</v>
      </c>
      <c r="X144" s="586">
        <v>30000</v>
      </c>
      <c r="Y144" s="428">
        <f t="shared" si="107"/>
        <v>5.6603773584905656E-3</v>
      </c>
      <c r="Z144" s="520">
        <f t="shared" si="108"/>
        <v>0</v>
      </c>
      <c r="AA144" s="573">
        <f t="shared" si="111"/>
        <v>30750</v>
      </c>
      <c r="AB144" s="505">
        <f t="shared" si="109"/>
        <v>5.5909090909090908E-3</v>
      </c>
      <c r="AC144" s="529">
        <f t="shared" si="113"/>
        <v>2.5000000000000001E-2</v>
      </c>
      <c r="AD144" s="427">
        <f t="shared" si="112"/>
        <v>31520</v>
      </c>
      <c r="AE144" s="428">
        <f t="shared" si="110"/>
        <v>5.4344827586206897E-3</v>
      </c>
      <c r="AF144" s="520">
        <f t="shared" si="114"/>
        <v>2.5000000000000001E-2</v>
      </c>
    </row>
    <row r="145" spans="1:32" ht="18" hidden="1" customHeight="1" x14ac:dyDescent="0.25">
      <c r="A145" s="101">
        <v>30</v>
      </c>
      <c r="B145" s="104" t="s">
        <v>114</v>
      </c>
      <c r="C145" s="75" t="s">
        <v>254</v>
      </c>
      <c r="D145" s="53">
        <v>43320</v>
      </c>
      <c r="E145" s="54">
        <f t="shared" si="116"/>
        <v>8.2294300665274565E-3</v>
      </c>
      <c r="F145" s="165">
        <v>28317</v>
      </c>
      <c r="G145" s="164">
        <f t="shared" si="117"/>
        <v>5.539179469062694E-3</v>
      </c>
      <c r="H145" s="125">
        <v>28840</v>
      </c>
      <c r="I145" s="54">
        <f t="shared" si="118"/>
        <v>5.2868917897540254E-3</v>
      </c>
      <c r="J145" s="165">
        <v>35445</v>
      </c>
      <c r="K145" s="164">
        <f t="shared" si="119"/>
        <v>6.342975957177352E-3</v>
      </c>
      <c r="L145" s="329">
        <v>36988</v>
      </c>
      <c r="M145" s="211">
        <f t="shared" si="120"/>
        <v>7.2083041659585945E-3</v>
      </c>
      <c r="N145" s="243">
        <v>34654</v>
      </c>
      <c r="O145" s="244">
        <f t="shared" si="102"/>
        <v>6.5515305841759384E-3</v>
      </c>
      <c r="P145" s="379">
        <v>41006</v>
      </c>
      <c r="Q145" s="244">
        <f t="shared" si="103"/>
        <v>8.4353379895071526E-3</v>
      </c>
      <c r="R145" s="427">
        <v>45315</v>
      </c>
      <c r="S145" s="428">
        <f t="shared" si="115"/>
        <v>8.4107793840410318E-3</v>
      </c>
      <c r="T145" s="564">
        <v>34841</v>
      </c>
      <c r="U145" s="505">
        <f t="shared" si="105"/>
        <v>7.72905428728363E-3</v>
      </c>
      <c r="V145" s="537">
        <v>40000</v>
      </c>
      <c r="W145" s="505">
        <f t="shared" si="106"/>
        <v>7.5471698113207548E-3</v>
      </c>
      <c r="X145" s="585">
        <v>40000</v>
      </c>
      <c r="Y145" s="428">
        <f t="shared" si="107"/>
        <v>7.5471698113207548E-3</v>
      </c>
      <c r="Z145" s="520">
        <f t="shared" si="108"/>
        <v>0</v>
      </c>
      <c r="AA145" s="573">
        <f t="shared" si="111"/>
        <v>41000</v>
      </c>
      <c r="AB145" s="505">
        <f t="shared" si="109"/>
        <v>7.4545454545454541E-3</v>
      </c>
      <c r="AC145" s="529">
        <f t="shared" si="113"/>
        <v>2.5000000000000001E-2</v>
      </c>
      <c r="AD145" s="427">
        <f t="shared" si="112"/>
        <v>42030</v>
      </c>
      <c r="AE145" s="428">
        <f t="shared" si="110"/>
        <v>7.2465517241379314E-3</v>
      </c>
      <c r="AF145" s="520">
        <f t="shared" si="114"/>
        <v>2.5100000000000001E-2</v>
      </c>
    </row>
    <row r="146" spans="1:32" ht="18" hidden="1" customHeight="1" x14ac:dyDescent="0.25">
      <c r="A146" s="103">
        <v>31</v>
      </c>
      <c r="B146" s="104" t="s">
        <v>118</v>
      </c>
      <c r="C146" s="75" t="s">
        <v>256</v>
      </c>
      <c r="D146" s="53">
        <v>16364</v>
      </c>
      <c r="E146" s="54">
        <f t="shared" si="116"/>
        <v>3.1086425117418126E-3</v>
      </c>
      <c r="F146" s="165">
        <v>18849</v>
      </c>
      <c r="G146" s="164">
        <f t="shared" si="117"/>
        <v>3.6871135294121097E-3</v>
      </c>
      <c r="H146" s="125">
        <v>11294</v>
      </c>
      <c r="I146" s="54">
        <f t="shared" si="118"/>
        <v>2.0703937542816218E-3</v>
      </c>
      <c r="J146" s="165">
        <v>22637</v>
      </c>
      <c r="K146" s="164">
        <f t="shared" si="119"/>
        <v>4.0509506768972693E-3</v>
      </c>
      <c r="L146" s="329">
        <v>10432</v>
      </c>
      <c r="M146" s="211">
        <f t="shared" si="120"/>
        <v>2.0330114918157257E-3</v>
      </c>
      <c r="N146" s="243">
        <v>17050</v>
      </c>
      <c r="O146" s="244">
        <f t="shared" si="102"/>
        <v>3.2233969082991788E-3</v>
      </c>
      <c r="P146" s="379">
        <v>17359</v>
      </c>
      <c r="Q146" s="244">
        <f t="shared" si="103"/>
        <v>3.5709172355229638E-3</v>
      </c>
      <c r="R146" s="427">
        <v>14639</v>
      </c>
      <c r="S146" s="428">
        <f t="shared" si="115"/>
        <v>2.7171002847396369E-3</v>
      </c>
      <c r="T146" s="564">
        <v>10381</v>
      </c>
      <c r="U146" s="505">
        <f t="shared" si="105"/>
        <v>2.3028992438877001E-3</v>
      </c>
      <c r="V146" s="537">
        <v>14000</v>
      </c>
      <c r="W146" s="505">
        <f t="shared" si="106"/>
        <v>2.6415094339622643E-3</v>
      </c>
      <c r="X146" s="586">
        <v>14000</v>
      </c>
      <c r="Y146" s="428">
        <f t="shared" si="107"/>
        <v>2.6415094339622643E-3</v>
      </c>
      <c r="Z146" s="520">
        <f t="shared" si="108"/>
        <v>0</v>
      </c>
      <c r="AA146" s="573">
        <f t="shared" si="111"/>
        <v>14350</v>
      </c>
      <c r="AB146" s="505">
        <f t="shared" si="109"/>
        <v>2.609090909090909E-3</v>
      </c>
      <c r="AC146" s="529">
        <f t="shared" si="113"/>
        <v>2.5000000000000001E-2</v>
      </c>
      <c r="AD146" s="427">
        <f t="shared" si="112"/>
        <v>14710</v>
      </c>
      <c r="AE146" s="428">
        <f t="shared" si="110"/>
        <v>2.536206896551724E-3</v>
      </c>
      <c r="AF146" s="520">
        <f t="shared" si="114"/>
        <v>2.5100000000000001E-2</v>
      </c>
    </row>
    <row r="147" spans="1:32" ht="18" hidden="1" customHeight="1" x14ac:dyDescent="0.25">
      <c r="A147" s="101">
        <v>32</v>
      </c>
      <c r="B147" s="104" t="s">
        <v>362</v>
      </c>
      <c r="C147" s="75" t="s">
        <v>257</v>
      </c>
      <c r="D147" s="53">
        <v>14331</v>
      </c>
      <c r="E147" s="54">
        <f t="shared" si="116"/>
        <v>2.7224368024793394E-3</v>
      </c>
      <c r="F147" s="165">
        <v>3156</v>
      </c>
      <c r="G147" s="164">
        <f t="shared" si="117"/>
        <v>6.1735531321686129E-4</v>
      </c>
      <c r="H147" s="125">
        <v>3300</v>
      </c>
      <c r="I147" s="54">
        <f t="shared" si="118"/>
        <v>6.0494947663620958E-4</v>
      </c>
      <c r="J147" s="165">
        <v>0</v>
      </c>
      <c r="K147" s="164">
        <f t="shared" si="119"/>
        <v>0</v>
      </c>
      <c r="L147" s="329">
        <v>0</v>
      </c>
      <c r="M147" s="211">
        <f t="shared" si="120"/>
        <v>0</v>
      </c>
      <c r="N147" s="243">
        <v>11508</v>
      </c>
      <c r="O147" s="244">
        <f t="shared" si="102"/>
        <v>2.175651121449088E-3</v>
      </c>
      <c r="P147" s="379">
        <v>0</v>
      </c>
      <c r="Q147" s="244">
        <f t="shared" si="103"/>
        <v>0</v>
      </c>
      <c r="R147" s="427">
        <v>0</v>
      </c>
      <c r="S147" s="428">
        <f t="shared" si="115"/>
        <v>0</v>
      </c>
      <c r="T147" s="564">
        <v>0</v>
      </c>
      <c r="U147" s="505">
        <f t="shared" si="105"/>
        <v>0</v>
      </c>
      <c r="V147" s="537">
        <v>0</v>
      </c>
      <c r="W147" s="505">
        <f t="shared" si="106"/>
        <v>0</v>
      </c>
      <c r="X147" s="586">
        <v>0</v>
      </c>
      <c r="Y147" s="428">
        <f t="shared" si="107"/>
        <v>0</v>
      </c>
      <c r="Z147" s="520" t="e">
        <f t="shared" si="108"/>
        <v>#DIV/0!</v>
      </c>
      <c r="AA147" s="573">
        <f t="shared" si="111"/>
        <v>0</v>
      </c>
      <c r="AB147" s="505">
        <f t="shared" si="109"/>
        <v>0</v>
      </c>
      <c r="AC147" s="529" t="e">
        <f t="shared" si="113"/>
        <v>#DIV/0!</v>
      </c>
      <c r="AD147" s="427">
        <f t="shared" si="112"/>
        <v>0</v>
      </c>
      <c r="AE147" s="428">
        <f t="shared" si="110"/>
        <v>0</v>
      </c>
      <c r="AF147" s="520" t="e">
        <f t="shared" si="114"/>
        <v>#DIV/0!</v>
      </c>
    </row>
    <row r="148" spans="1:32" ht="18" hidden="1" customHeight="1" x14ac:dyDescent="0.25">
      <c r="A148" s="101">
        <v>33</v>
      </c>
      <c r="B148" s="104" t="s">
        <v>119</v>
      </c>
      <c r="C148" s="75" t="s">
        <v>229</v>
      </c>
      <c r="D148" s="53"/>
      <c r="E148" s="54">
        <f t="shared" si="116"/>
        <v>0</v>
      </c>
      <c r="F148" s="202">
        <v>-12431</v>
      </c>
      <c r="G148" s="164">
        <f t="shared" si="117"/>
        <v>-2.4316679019641329E-3</v>
      </c>
      <c r="H148" s="135">
        <v>-3921</v>
      </c>
      <c r="I148" s="54">
        <f t="shared" si="118"/>
        <v>-7.1878996905775088E-4</v>
      </c>
      <c r="J148" s="163">
        <v>0</v>
      </c>
      <c r="K148" s="164">
        <f t="shared" si="119"/>
        <v>0</v>
      </c>
      <c r="L148" s="330">
        <v>-2000</v>
      </c>
      <c r="M148" s="211">
        <f t="shared" si="120"/>
        <v>-3.8976447312418053E-4</v>
      </c>
      <c r="N148" s="245">
        <v>-25000</v>
      </c>
      <c r="O148" s="244">
        <f t="shared" si="102"/>
        <v>-4.726388428591171E-3</v>
      </c>
      <c r="P148" s="380">
        <v>-5000</v>
      </c>
      <c r="Q148" s="244">
        <f t="shared" si="103"/>
        <v>-1.0285492354176404E-3</v>
      </c>
      <c r="R148" s="429">
        <v>0</v>
      </c>
      <c r="S148" s="428">
        <f t="shared" si="115"/>
        <v>0</v>
      </c>
      <c r="T148" s="565">
        <v>-35000</v>
      </c>
      <c r="U148" s="505">
        <f t="shared" si="105"/>
        <v>-7.764326513444708E-3</v>
      </c>
      <c r="V148" s="539">
        <v>-55000</v>
      </c>
      <c r="W148" s="505">
        <f t="shared" si="106"/>
        <v>-1.0377358490566037E-2</v>
      </c>
      <c r="X148" s="584">
        <v>-35000</v>
      </c>
      <c r="Y148" s="428">
        <f t="shared" si="107"/>
        <v>-6.6037735849056606E-3</v>
      </c>
      <c r="Z148" s="520">
        <f t="shared" si="108"/>
        <v>-0.36359999999999998</v>
      </c>
      <c r="AA148" s="550">
        <v>-15000</v>
      </c>
      <c r="AB148" s="505">
        <f t="shared" si="109"/>
        <v>-2.7272727272727275E-3</v>
      </c>
      <c r="AC148" s="529">
        <f t="shared" si="113"/>
        <v>-0.57140000000000002</v>
      </c>
      <c r="AD148" s="588">
        <v>-15000</v>
      </c>
      <c r="AE148" s="428">
        <f t="shared" si="110"/>
        <v>-2.5862068965517241E-3</v>
      </c>
      <c r="AF148" s="520">
        <f t="shared" si="114"/>
        <v>0</v>
      </c>
    </row>
    <row r="149" spans="1:32" ht="18" hidden="1" customHeight="1" x14ac:dyDescent="0.25">
      <c r="A149" s="101">
        <v>34</v>
      </c>
      <c r="B149" s="104" t="s">
        <v>120</v>
      </c>
      <c r="C149" s="75" t="s">
        <v>38</v>
      </c>
      <c r="D149" s="53">
        <v>1865</v>
      </c>
      <c r="E149" s="54">
        <f t="shared" si="116"/>
        <v>3.5429102202386213E-4</v>
      </c>
      <c r="F149" s="165">
        <v>6732</v>
      </c>
      <c r="G149" s="164">
        <f t="shared" si="117"/>
        <v>1.3168681776222783E-3</v>
      </c>
      <c r="H149" s="125">
        <v>9964</v>
      </c>
      <c r="I149" s="54">
        <f t="shared" si="118"/>
        <v>1.8265807833949068E-3</v>
      </c>
      <c r="J149" s="165">
        <v>10250</v>
      </c>
      <c r="K149" s="164">
        <f t="shared" si="119"/>
        <v>1.8342644536907279E-3</v>
      </c>
      <c r="L149" s="329">
        <v>10581</v>
      </c>
      <c r="M149" s="211">
        <f t="shared" si="120"/>
        <v>2.062048945063477E-3</v>
      </c>
      <c r="N149" s="243">
        <v>9412</v>
      </c>
      <c r="O149" s="244">
        <f t="shared" si="102"/>
        <v>1.7793907155960042E-3</v>
      </c>
      <c r="P149" s="379">
        <v>6854</v>
      </c>
      <c r="Q149" s="244">
        <f t="shared" si="103"/>
        <v>1.4099352919105014E-3</v>
      </c>
      <c r="R149" s="427">
        <v>14099</v>
      </c>
      <c r="S149" s="428">
        <f t="shared" si="115"/>
        <v>2.6168725264392474E-3</v>
      </c>
      <c r="T149" s="564">
        <v>4513</v>
      </c>
      <c r="U149" s="505">
        <f t="shared" si="105"/>
        <v>1.0011544444335991E-3</v>
      </c>
      <c r="V149" s="537">
        <v>25000</v>
      </c>
      <c r="W149" s="505">
        <f t="shared" si="106"/>
        <v>4.7169811320754715E-3</v>
      </c>
      <c r="X149" s="586">
        <v>25000</v>
      </c>
      <c r="Y149" s="428">
        <f t="shared" si="107"/>
        <v>4.7169811320754715E-3</v>
      </c>
      <c r="Z149" s="520">
        <f t="shared" si="108"/>
        <v>0</v>
      </c>
      <c r="AA149" s="573">
        <f t="shared" si="111"/>
        <v>25630</v>
      </c>
      <c r="AB149" s="505">
        <f t="shared" si="109"/>
        <v>4.6600000000000001E-3</v>
      </c>
      <c r="AC149" s="529">
        <f t="shared" si="113"/>
        <v>2.52E-2</v>
      </c>
      <c r="AD149" s="427">
        <f t="shared" si="112"/>
        <v>26270</v>
      </c>
      <c r="AE149" s="428">
        <f t="shared" si="110"/>
        <v>4.5293103448275866E-3</v>
      </c>
      <c r="AF149" s="520">
        <f t="shared" si="114"/>
        <v>2.5000000000000001E-2</v>
      </c>
    </row>
    <row r="150" spans="1:32" ht="18" hidden="1" customHeight="1" x14ac:dyDescent="0.25">
      <c r="A150" s="103">
        <v>35</v>
      </c>
      <c r="B150" s="104" t="s">
        <v>94</v>
      </c>
      <c r="C150" s="75" t="s">
        <v>230</v>
      </c>
      <c r="D150" s="53">
        <v>4478</v>
      </c>
      <c r="E150" s="54">
        <f t="shared" si="116"/>
        <v>8.5067838961010969E-4</v>
      </c>
      <c r="F150" s="165">
        <v>3914</v>
      </c>
      <c r="G150" s="164">
        <f t="shared" si="117"/>
        <v>7.656301317904928E-4</v>
      </c>
      <c r="H150" s="125">
        <v>3448</v>
      </c>
      <c r="I150" s="54">
        <f t="shared" si="118"/>
        <v>6.3208054407322748E-4</v>
      </c>
      <c r="J150" s="165">
        <f>839+175</f>
        <v>1014</v>
      </c>
      <c r="K150" s="164">
        <f t="shared" si="119"/>
        <v>1.8145796644316079E-4</v>
      </c>
      <c r="L150" s="329">
        <v>697</v>
      </c>
      <c r="M150" s="211">
        <f t="shared" si="120"/>
        <v>1.3583291888377691E-4</v>
      </c>
      <c r="N150" s="243">
        <f>918+550+65</f>
        <v>1533</v>
      </c>
      <c r="O150" s="244">
        <f t="shared" si="102"/>
        <v>2.8982213844121061E-4</v>
      </c>
      <c r="P150" s="379">
        <f>238+346+52</f>
        <v>636</v>
      </c>
      <c r="Q150" s="244">
        <f t="shared" si="103"/>
        <v>1.3083146274512386E-4</v>
      </c>
      <c r="R150" s="427">
        <v>302</v>
      </c>
      <c r="S150" s="428">
        <f t="shared" si="115"/>
        <v>5.6053301864291986E-5</v>
      </c>
      <c r="T150" s="564">
        <v>320</v>
      </c>
      <c r="U150" s="505">
        <f t="shared" si="105"/>
        <v>7.0988128122923043E-5</v>
      </c>
      <c r="V150" s="537">
        <v>1000</v>
      </c>
      <c r="W150" s="505">
        <f t="shared" si="106"/>
        <v>1.8867924528301886E-4</v>
      </c>
      <c r="X150" s="586">
        <v>1000</v>
      </c>
      <c r="Y150" s="428">
        <f t="shared" si="107"/>
        <v>1.8867924528301886E-4</v>
      </c>
      <c r="Z150" s="520">
        <f t="shared" si="108"/>
        <v>0</v>
      </c>
      <c r="AA150" s="573">
        <f t="shared" si="111"/>
        <v>1030</v>
      </c>
      <c r="AB150" s="505">
        <f t="shared" si="109"/>
        <v>1.8727272727272728E-4</v>
      </c>
      <c r="AC150" s="529">
        <f t="shared" si="113"/>
        <v>0.03</v>
      </c>
      <c r="AD150" s="427">
        <f t="shared" si="112"/>
        <v>1060</v>
      </c>
      <c r="AE150" s="428">
        <f t="shared" si="110"/>
        <v>1.8275862068965518E-4</v>
      </c>
      <c r="AF150" s="520">
        <f t="shared" si="114"/>
        <v>2.9100000000000001E-2</v>
      </c>
    </row>
    <row r="151" spans="1:32" ht="18" hidden="1" customHeight="1" x14ac:dyDescent="0.25">
      <c r="A151" s="101">
        <v>36</v>
      </c>
      <c r="B151" s="104" t="s">
        <v>91</v>
      </c>
      <c r="C151" s="75" t="s">
        <v>219</v>
      </c>
      <c r="D151" s="53">
        <v>19399</v>
      </c>
      <c r="E151" s="54">
        <f t="shared" si="116"/>
        <v>3.6851965341774271E-3</v>
      </c>
      <c r="F151" s="165">
        <v>19131</v>
      </c>
      <c r="G151" s="164">
        <f t="shared" si="117"/>
        <v>3.7422764566387118E-3</v>
      </c>
      <c r="H151" s="125">
        <v>16725</v>
      </c>
      <c r="I151" s="54">
        <f t="shared" si="118"/>
        <v>3.0659939384062441E-3</v>
      </c>
      <c r="J151" s="165">
        <v>26283</v>
      </c>
      <c r="K151" s="164">
        <f t="shared" si="119"/>
        <v>4.7034119645222834E-3</v>
      </c>
      <c r="L151" s="329">
        <v>32486</v>
      </c>
      <c r="M151" s="211">
        <f t="shared" si="120"/>
        <v>6.3309443369560644E-3</v>
      </c>
      <c r="N151" s="243">
        <v>27130</v>
      </c>
      <c r="O151" s="244">
        <f t="shared" si="102"/>
        <v>5.1290767227071396E-3</v>
      </c>
      <c r="P151" s="379">
        <v>28078</v>
      </c>
      <c r="Q151" s="244">
        <f t="shared" si="103"/>
        <v>5.7759210864113016E-3</v>
      </c>
      <c r="R151" s="427">
        <v>28879</v>
      </c>
      <c r="S151" s="428">
        <f t="shared" si="115"/>
        <v>5.360143392512875E-3</v>
      </c>
      <c r="T151" s="564">
        <v>21094</v>
      </c>
      <c r="U151" s="505">
        <f t="shared" si="105"/>
        <v>4.6794486707029334E-3</v>
      </c>
      <c r="V151" s="537">
        <v>28000</v>
      </c>
      <c r="W151" s="505">
        <f t="shared" si="106"/>
        <v>5.2830188679245287E-3</v>
      </c>
      <c r="X151" s="586">
        <v>28000</v>
      </c>
      <c r="Y151" s="428">
        <f t="shared" si="107"/>
        <v>5.2830188679245287E-3</v>
      </c>
      <c r="Z151" s="520">
        <f t="shared" si="108"/>
        <v>0</v>
      </c>
      <c r="AA151" s="573">
        <f t="shared" si="111"/>
        <v>28700</v>
      </c>
      <c r="AB151" s="505">
        <f t="shared" si="109"/>
        <v>5.218181818181818E-3</v>
      </c>
      <c r="AC151" s="529">
        <f t="shared" si="113"/>
        <v>2.5000000000000001E-2</v>
      </c>
      <c r="AD151" s="427">
        <f t="shared" si="112"/>
        <v>29420</v>
      </c>
      <c r="AE151" s="428">
        <f t="shared" si="110"/>
        <v>5.0724137931034479E-3</v>
      </c>
      <c r="AF151" s="520">
        <f t="shared" si="114"/>
        <v>2.5100000000000001E-2</v>
      </c>
    </row>
    <row r="152" spans="1:32" ht="18" hidden="1" customHeight="1" x14ac:dyDescent="0.25">
      <c r="A152" s="101">
        <v>37</v>
      </c>
      <c r="B152" s="104" t="s">
        <v>110</v>
      </c>
      <c r="C152" s="75" t="s">
        <v>220</v>
      </c>
      <c r="D152" s="53">
        <v>4339</v>
      </c>
      <c r="E152" s="54">
        <f t="shared" si="116"/>
        <v>8.2427278528768788E-4</v>
      </c>
      <c r="F152" s="165">
        <v>4263</v>
      </c>
      <c r="G152" s="164">
        <f t="shared" si="117"/>
        <v>8.3389914456384021E-4</v>
      </c>
      <c r="H152" s="125">
        <v>4104</v>
      </c>
      <c r="I152" s="54">
        <f t="shared" si="118"/>
        <v>7.5233716730757703E-4</v>
      </c>
      <c r="J152" s="165">
        <v>3950</v>
      </c>
      <c r="K152" s="164">
        <f t="shared" si="119"/>
        <v>7.0686288703203663E-4</v>
      </c>
      <c r="L152" s="329">
        <v>3913</v>
      </c>
      <c r="M152" s="211">
        <f t="shared" si="120"/>
        <v>7.6257419166745916E-4</v>
      </c>
      <c r="N152" s="243">
        <v>5958</v>
      </c>
      <c r="O152" s="244">
        <f t="shared" si="102"/>
        <v>1.126392890301848E-3</v>
      </c>
      <c r="P152" s="379">
        <v>6376</v>
      </c>
      <c r="Q152" s="244">
        <f t="shared" si="103"/>
        <v>1.3116059850045751E-3</v>
      </c>
      <c r="R152" s="427">
        <v>6290</v>
      </c>
      <c r="S152" s="428">
        <f t="shared" si="115"/>
        <v>1.1674677772397239E-3</v>
      </c>
      <c r="T152" s="564">
        <v>4818</v>
      </c>
      <c r="U152" s="505">
        <f t="shared" si="105"/>
        <v>1.06881500405076E-3</v>
      </c>
      <c r="V152" s="537">
        <v>6600</v>
      </c>
      <c r="W152" s="505">
        <f t="shared" si="106"/>
        <v>1.2452830188679246E-3</v>
      </c>
      <c r="X152" s="427">
        <v>6765</v>
      </c>
      <c r="Y152" s="428">
        <f t="shared" si="107"/>
        <v>1.2764150943396226E-3</v>
      </c>
      <c r="Z152" s="520">
        <f t="shared" si="108"/>
        <v>2.5000000000000001E-2</v>
      </c>
      <c r="AA152" s="573">
        <f t="shared" si="111"/>
        <v>6930</v>
      </c>
      <c r="AB152" s="505">
        <f t="shared" si="109"/>
        <v>1.2600000000000001E-3</v>
      </c>
      <c r="AC152" s="529">
        <f t="shared" si="113"/>
        <v>2.4400000000000002E-2</v>
      </c>
      <c r="AD152" s="427">
        <f t="shared" si="112"/>
        <v>7100</v>
      </c>
      <c r="AE152" s="428">
        <f t="shared" si="110"/>
        <v>1.2241379310344827E-3</v>
      </c>
      <c r="AF152" s="520">
        <f t="shared" si="114"/>
        <v>2.4500000000000001E-2</v>
      </c>
    </row>
    <row r="153" spans="1:32" ht="18" hidden="1" customHeight="1" x14ac:dyDescent="0.25">
      <c r="A153" s="101">
        <v>38</v>
      </c>
      <c r="B153" s="104" t="s">
        <v>113</v>
      </c>
      <c r="C153" s="75" t="s">
        <v>378</v>
      </c>
      <c r="D153" s="53">
        <v>1344</v>
      </c>
      <c r="E153" s="54">
        <f t="shared" si="116"/>
        <v>2.553174979088851E-4</v>
      </c>
      <c r="F153" s="165">
        <v>2286</v>
      </c>
      <c r="G153" s="164">
        <f t="shared" si="117"/>
        <v>4.4717181432628165E-4</v>
      </c>
      <c r="H153" s="125">
        <v>1176</v>
      </c>
      <c r="I153" s="54">
        <f t="shared" si="118"/>
        <v>2.1558199531035834E-4</v>
      </c>
      <c r="J153" s="165">
        <v>1176</v>
      </c>
      <c r="K153" s="164">
        <f t="shared" si="119"/>
        <v>2.1044829244295572E-4</v>
      </c>
      <c r="L153" s="329">
        <v>676</v>
      </c>
      <c r="M153" s="211">
        <f t="shared" si="120"/>
        <v>1.3174039191597302E-4</v>
      </c>
      <c r="N153" s="243">
        <v>1858</v>
      </c>
      <c r="O153" s="244">
        <f t="shared" si="102"/>
        <v>3.5126518801289585E-4</v>
      </c>
      <c r="P153" s="379">
        <v>648</v>
      </c>
      <c r="Q153" s="244">
        <f t="shared" si="103"/>
        <v>1.3329998091012618E-4</v>
      </c>
      <c r="R153" s="427">
        <v>1329</v>
      </c>
      <c r="S153" s="428">
        <f t="shared" si="115"/>
        <v>2.4667164959484787E-4</v>
      </c>
      <c r="T153" s="564">
        <v>0</v>
      </c>
      <c r="U153" s="505">
        <f t="shared" si="105"/>
        <v>0</v>
      </c>
      <c r="V153" s="537">
        <v>2000</v>
      </c>
      <c r="W153" s="505">
        <f t="shared" si="106"/>
        <v>3.7735849056603772E-4</v>
      </c>
      <c r="X153" s="586">
        <v>2000</v>
      </c>
      <c r="Y153" s="428">
        <f t="shared" si="107"/>
        <v>3.7735849056603772E-4</v>
      </c>
      <c r="Z153" s="520">
        <f t="shared" si="108"/>
        <v>0</v>
      </c>
      <c r="AA153" s="573">
        <f t="shared" si="111"/>
        <v>2050</v>
      </c>
      <c r="AB153" s="505">
        <f t="shared" si="109"/>
        <v>3.7272727272727273E-4</v>
      </c>
      <c r="AC153" s="529">
        <f t="shared" si="113"/>
        <v>2.5000000000000001E-2</v>
      </c>
      <c r="AD153" s="427">
        <f t="shared" si="112"/>
        <v>2100</v>
      </c>
      <c r="AE153" s="428">
        <f t="shared" si="110"/>
        <v>3.6206896551724136E-4</v>
      </c>
      <c r="AF153" s="520">
        <f t="shared" si="114"/>
        <v>2.4400000000000002E-2</v>
      </c>
    </row>
    <row r="154" spans="1:32" ht="18" hidden="1" customHeight="1" x14ac:dyDescent="0.25">
      <c r="A154" s="103">
        <v>39</v>
      </c>
      <c r="B154" s="104" t="s">
        <v>115</v>
      </c>
      <c r="C154" s="75" t="s">
        <v>255</v>
      </c>
      <c r="D154" s="53">
        <v>17600</v>
      </c>
      <c r="E154" s="54">
        <f t="shared" si="116"/>
        <v>3.3434434249973049E-3</v>
      </c>
      <c r="F154" s="165">
        <v>19537</v>
      </c>
      <c r="G154" s="164">
        <f t="shared" si="117"/>
        <v>3.8216954227876486E-3</v>
      </c>
      <c r="H154" s="125">
        <v>17628</v>
      </c>
      <c r="I154" s="54">
        <f t="shared" si="118"/>
        <v>3.2315301133766976E-3</v>
      </c>
      <c r="J154" s="165">
        <v>20128</v>
      </c>
      <c r="K154" s="164">
        <f t="shared" si="119"/>
        <v>3.6019585291597045E-3</v>
      </c>
      <c r="L154" s="329">
        <v>20526</v>
      </c>
      <c r="M154" s="211">
        <f t="shared" si="120"/>
        <v>4.0001527876734645E-3</v>
      </c>
      <c r="N154" s="243">
        <v>22792</v>
      </c>
      <c r="O154" s="244">
        <f t="shared" si="102"/>
        <v>4.3089538025779988E-3</v>
      </c>
      <c r="P154" s="379">
        <v>28737</v>
      </c>
      <c r="Q154" s="244">
        <f t="shared" si="103"/>
        <v>5.9114838756393461E-3</v>
      </c>
      <c r="R154" s="427">
        <v>17899</v>
      </c>
      <c r="S154" s="428">
        <f t="shared" si="115"/>
        <v>3.3221789737382856E-3</v>
      </c>
      <c r="T154" s="564">
        <v>10457</v>
      </c>
      <c r="U154" s="505">
        <f t="shared" si="105"/>
        <v>2.3197589243168946E-3</v>
      </c>
      <c r="V154" s="537">
        <v>21000</v>
      </c>
      <c r="W154" s="505">
        <f t="shared" si="106"/>
        <v>3.9622641509433959E-3</v>
      </c>
      <c r="X154" s="427">
        <v>17500</v>
      </c>
      <c r="Y154" s="428">
        <f t="shared" si="107"/>
        <v>3.3018867924528303E-3</v>
      </c>
      <c r="Z154" s="520">
        <f t="shared" si="108"/>
        <v>-0.16669999999999999</v>
      </c>
      <c r="AA154" s="573">
        <f t="shared" si="111"/>
        <v>17940</v>
      </c>
      <c r="AB154" s="505">
        <f t="shared" si="109"/>
        <v>3.2618181818181817E-3</v>
      </c>
      <c r="AC154" s="529">
        <f t="shared" si="113"/>
        <v>2.5100000000000001E-2</v>
      </c>
      <c r="AD154" s="427">
        <f t="shared" si="112"/>
        <v>18390</v>
      </c>
      <c r="AE154" s="428">
        <f t="shared" si="110"/>
        <v>3.1706896551724137E-3</v>
      </c>
      <c r="AF154" s="520">
        <f t="shared" si="114"/>
        <v>2.5100000000000001E-2</v>
      </c>
    </row>
    <row r="155" spans="1:32" ht="18" hidden="1" customHeight="1" x14ac:dyDescent="0.25">
      <c r="A155" s="101">
        <v>40</v>
      </c>
      <c r="B155" s="104" t="s">
        <v>116</v>
      </c>
      <c r="C155" s="75" t="s">
        <v>223</v>
      </c>
      <c r="D155" s="53">
        <v>7776</v>
      </c>
      <c r="E155" s="54">
        <f t="shared" si="116"/>
        <v>1.4771940950442637E-3</v>
      </c>
      <c r="F155" s="165">
        <v>7155</v>
      </c>
      <c r="G155" s="164">
        <f t="shared" si="117"/>
        <v>1.3996125684621809E-3</v>
      </c>
      <c r="H155" s="125">
        <v>4870</v>
      </c>
      <c r="I155" s="54">
        <f t="shared" si="118"/>
        <v>8.9275877309646684E-4</v>
      </c>
      <c r="J155" s="165">
        <v>4680</v>
      </c>
      <c r="K155" s="164">
        <f t="shared" si="119"/>
        <v>8.3749830666074215E-4</v>
      </c>
      <c r="L155" s="329">
        <v>3486</v>
      </c>
      <c r="M155" s="211">
        <f t="shared" si="120"/>
        <v>6.793594766554466E-4</v>
      </c>
      <c r="N155" s="243">
        <v>7624</v>
      </c>
      <c r="O155" s="244">
        <f t="shared" si="102"/>
        <v>1.4413594151831636E-3</v>
      </c>
      <c r="P155" s="379">
        <v>6137</v>
      </c>
      <c r="Q155" s="244">
        <f t="shared" si="103"/>
        <v>1.2624413315516117E-3</v>
      </c>
      <c r="R155" s="427">
        <v>4086</v>
      </c>
      <c r="S155" s="428">
        <f t="shared" si="115"/>
        <v>7.5839003780628161E-4</v>
      </c>
      <c r="T155" s="564">
        <v>4642</v>
      </c>
      <c r="U155" s="505">
        <f t="shared" si="105"/>
        <v>1.0297715335831523E-3</v>
      </c>
      <c r="V155" s="537">
        <v>6000</v>
      </c>
      <c r="W155" s="505">
        <f t="shared" si="106"/>
        <v>1.1320754716981133E-3</v>
      </c>
      <c r="X155" s="427">
        <v>6000</v>
      </c>
      <c r="Y155" s="428">
        <f t="shared" si="107"/>
        <v>1.1320754716981133E-3</v>
      </c>
      <c r="Z155" s="520">
        <f t="shared" si="108"/>
        <v>0</v>
      </c>
      <c r="AA155" s="573">
        <f t="shared" si="111"/>
        <v>6150</v>
      </c>
      <c r="AB155" s="505">
        <f t="shared" si="109"/>
        <v>1.1181818181818181E-3</v>
      </c>
      <c r="AC155" s="529">
        <f t="shared" si="113"/>
        <v>2.5000000000000001E-2</v>
      </c>
      <c r="AD155" s="427">
        <f t="shared" si="112"/>
        <v>6300</v>
      </c>
      <c r="AE155" s="428">
        <f t="shared" si="110"/>
        <v>1.0862068965517241E-3</v>
      </c>
      <c r="AF155" s="520">
        <f t="shared" si="114"/>
        <v>2.4400000000000002E-2</v>
      </c>
    </row>
    <row r="156" spans="1:32" ht="18" hidden="1" customHeight="1" x14ac:dyDescent="0.25">
      <c r="A156" s="101">
        <v>41</v>
      </c>
      <c r="B156" s="104" t="s">
        <v>117</v>
      </c>
      <c r="C156" s="75" t="s">
        <v>234</v>
      </c>
      <c r="D156" s="53">
        <v>2061</v>
      </c>
      <c r="E156" s="54">
        <f t="shared" si="116"/>
        <v>3.9152482380224124E-4</v>
      </c>
      <c r="F156" s="165">
        <v>2252</v>
      </c>
      <c r="G156" s="164">
        <f t="shared" si="117"/>
        <v>4.4052096494435095E-4</v>
      </c>
      <c r="H156" s="125">
        <v>2042</v>
      </c>
      <c r="I156" s="54">
        <f t="shared" si="118"/>
        <v>3.7433540342155755E-4</v>
      </c>
      <c r="J156" s="165">
        <v>2523</v>
      </c>
      <c r="K156" s="164">
        <f t="shared" si="119"/>
        <v>4.5149748455236164E-4</v>
      </c>
      <c r="L156" s="329">
        <v>3566</v>
      </c>
      <c r="M156" s="211">
        <f t="shared" si="120"/>
        <v>6.9495005558041392E-4</v>
      </c>
      <c r="N156" s="243">
        <v>1409</v>
      </c>
      <c r="O156" s="244">
        <f t="shared" si="102"/>
        <v>2.6637925183539842E-4</v>
      </c>
      <c r="P156" s="379">
        <v>96</v>
      </c>
      <c r="Q156" s="244">
        <f t="shared" si="103"/>
        <v>1.9748145320018695E-5</v>
      </c>
      <c r="R156" s="427">
        <v>0</v>
      </c>
      <c r="S156" s="428">
        <f t="shared" si="115"/>
        <v>0</v>
      </c>
      <c r="T156" s="564">
        <v>0</v>
      </c>
      <c r="U156" s="505">
        <f t="shared" si="105"/>
        <v>0</v>
      </c>
      <c r="V156" s="537">
        <v>0</v>
      </c>
      <c r="W156" s="505">
        <f t="shared" si="106"/>
        <v>0</v>
      </c>
      <c r="X156" s="473">
        <v>0</v>
      </c>
      <c r="Y156" s="428">
        <f t="shared" si="107"/>
        <v>0</v>
      </c>
      <c r="Z156" s="520" t="e">
        <f t="shared" si="108"/>
        <v>#DIV/0!</v>
      </c>
      <c r="AA156" s="573">
        <f t="shared" si="111"/>
        <v>0</v>
      </c>
      <c r="AB156" s="505">
        <f t="shared" si="109"/>
        <v>0</v>
      </c>
      <c r="AC156" s="529" t="e">
        <f t="shared" si="113"/>
        <v>#DIV/0!</v>
      </c>
      <c r="AD156" s="427">
        <f t="shared" si="112"/>
        <v>0</v>
      </c>
      <c r="AE156" s="428">
        <f t="shared" si="110"/>
        <v>0</v>
      </c>
      <c r="AF156" s="520" t="e">
        <f t="shared" si="114"/>
        <v>#DIV/0!</v>
      </c>
    </row>
    <row r="157" spans="1:32" ht="18" hidden="1" customHeight="1" x14ac:dyDescent="0.25">
      <c r="A157" s="101">
        <v>42</v>
      </c>
      <c r="B157" s="104" t="s">
        <v>121</v>
      </c>
      <c r="C157" s="75" t="s">
        <v>224</v>
      </c>
      <c r="D157" s="53">
        <v>29766</v>
      </c>
      <c r="E157" s="54">
        <f t="shared" si="116"/>
        <v>5.6545986925266916E-3</v>
      </c>
      <c r="F157" s="165">
        <v>22367</v>
      </c>
      <c r="G157" s="164">
        <f t="shared" si="117"/>
        <v>4.3752808272248212E-3</v>
      </c>
      <c r="H157" s="125">
        <v>14010</v>
      </c>
      <c r="I157" s="54">
        <f t="shared" si="118"/>
        <v>2.5682855053555443E-3</v>
      </c>
      <c r="J157" s="165">
        <v>16247</v>
      </c>
      <c r="K157" s="164">
        <f t="shared" si="119"/>
        <v>2.9074433735720253E-3</v>
      </c>
      <c r="L157" s="329">
        <v>28682</v>
      </c>
      <c r="M157" s="211">
        <f t="shared" si="120"/>
        <v>5.5896123090738731E-3</v>
      </c>
      <c r="N157" s="243">
        <v>37719</v>
      </c>
      <c r="O157" s="244">
        <f t="shared" si="102"/>
        <v>7.130985805521216E-3</v>
      </c>
      <c r="P157" s="379">
        <v>40518</v>
      </c>
      <c r="Q157" s="244">
        <f t="shared" si="103"/>
        <v>8.3349515841303901E-3</v>
      </c>
      <c r="R157" s="427">
        <v>41893</v>
      </c>
      <c r="S157" s="428">
        <f t="shared" si="115"/>
        <v>7.7756323675522657E-3</v>
      </c>
      <c r="T157" s="564">
        <v>36282</v>
      </c>
      <c r="U157" s="505">
        <f t="shared" si="105"/>
        <v>8.0487227017371678E-3</v>
      </c>
      <c r="V157" s="537">
        <v>48550</v>
      </c>
      <c r="W157" s="505">
        <f t="shared" si="106"/>
        <v>9.1603773584905662E-3</v>
      </c>
      <c r="X157" s="427">
        <v>48030</v>
      </c>
      <c r="Y157" s="428">
        <f t="shared" si="107"/>
        <v>9.0622641509433954E-3</v>
      </c>
      <c r="Z157" s="520">
        <f t="shared" si="108"/>
        <v>-1.0699999999999999E-2</v>
      </c>
      <c r="AA157" s="379">
        <v>51715</v>
      </c>
      <c r="AB157" s="505">
        <f t="shared" si="109"/>
        <v>9.4027272727272727E-3</v>
      </c>
      <c r="AC157" s="529">
        <f t="shared" si="113"/>
        <v>7.6700000000000004E-2</v>
      </c>
      <c r="AD157" s="427">
        <v>55870</v>
      </c>
      <c r="AE157" s="428">
        <f t="shared" si="110"/>
        <v>9.6327586206896559E-3</v>
      </c>
      <c r="AF157" s="520">
        <f t="shared" si="114"/>
        <v>8.0299999999999996E-2</v>
      </c>
    </row>
    <row r="158" spans="1:32" ht="18" hidden="1" customHeight="1" x14ac:dyDescent="0.25">
      <c r="A158" s="103">
        <v>43</v>
      </c>
      <c r="B158" s="104" t="s">
        <v>122</v>
      </c>
      <c r="C158" s="75" t="s">
        <v>5</v>
      </c>
      <c r="D158" s="53">
        <v>30647</v>
      </c>
      <c r="E158" s="54">
        <f t="shared" si="116"/>
        <v>5.8219608321529778E-3</v>
      </c>
      <c r="F158" s="165">
        <v>32763</v>
      </c>
      <c r="G158" s="164">
        <f t="shared" si="117"/>
        <v>6.4088758323586903E-3</v>
      </c>
      <c r="H158" s="125">
        <v>34052</v>
      </c>
      <c r="I158" s="54">
        <f t="shared" si="118"/>
        <v>6.2423453267927906E-3</v>
      </c>
      <c r="J158" s="165">
        <v>34924</v>
      </c>
      <c r="K158" s="164">
        <f t="shared" si="119"/>
        <v>6.2497416371409742E-3</v>
      </c>
      <c r="L158" s="329">
        <v>36183</v>
      </c>
      <c r="M158" s="211">
        <f t="shared" si="120"/>
        <v>7.0514239655261116E-3</v>
      </c>
      <c r="N158" s="243">
        <v>35509</v>
      </c>
      <c r="O158" s="244">
        <f t="shared" si="102"/>
        <v>6.7131730684337563E-3</v>
      </c>
      <c r="P158" s="379">
        <v>36410</v>
      </c>
      <c r="Q158" s="244">
        <f t="shared" si="103"/>
        <v>7.4898955323112575E-3</v>
      </c>
      <c r="R158" s="427">
        <v>33648</v>
      </c>
      <c r="S158" s="428">
        <f t="shared" si="115"/>
        <v>6.2453029838731682E-3</v>
      </c>
      <c r="T158" s="564">
        <v>24405</v>
      </c>
      <c r="U158" s="505">
        <f t="shared" si="105"/>
        <v>5.4139539588748025E-3</v>
      </c>
      <c r="V158" s="537">
        <v>33585</v>
      </c>
      <c r="W158" s="505">
        <f t="shared" si="106"/>
        <v>6.3367924528301891E-3</v>
      </c>
      <c r="X158" s="427">
        <v>34630</v>
      </c>
      <c r="Y158" s="428">
        <f t="shared" si="107"/>
        <v>6.5339622641509432E-3</v>
      </c>
      <c r="Z158" s="520">
        <f t="shared" si="108"/>
        <v>3.1099999999999999E-2</v>
      </c>
      <c r="AA158" s="379">
        <v>36260</v>
      </c>
      <c r="AB158" s="505">
        <f t="shared" si="109"/>
        <v>6.5927272727272727E-3</v>
      </c>
      <c r="AC158" s="529">
        <f t="shared" si="113"/>
        <v>4.7100000000000003E-2</v>
      </c>
      <c r="AD158" s="427">
        <v>37295</v>
      </c>
      <c r="AE158" s="428">
        <f t="shared" si="110"/>
        <v>6.4301724137931036E-3</v>
      </c>
      <c r="AF158" s="520">
        <f t="shared" si="114"/>
        <v>2.8500000000000001E-2</v>
      </c>
    </row>
    <row r="159" spans="1:32" ht="18" hidden="1" customHeight="1" x14ac:dyDescent="0.25">
      <c r="A159" s="101">
        <v>44</v>
      </c>
      <c r="B159" s="104" t="s">
        <v>123</v>
      </c>
      <c r="C159" s="76" t="s">
        <v>225</v>
      </c>
      <c r="D159" s="55">
        <v>21994</v>
      </c>
      <c r="E159" s="56">
        <f t="shared" si="116"/>
        <v>4.1781644709881095E-3</v>
      </c>
      <c r="F159" s="166">
        <v>28198</v>
      </c>
      <c r="G159" s="167">
        <f t="shared" si="117"/>
        <v>5.5159014962259363E-3</v>
      </c>
      <c r="H159" s="126">
        <v>27859</v>
      </c>
      <c r="I159" s="56">
        <f t="shared" si="118"/>
        <v>5.1070568089721709E-3</v>
      </c>
      <c r="J159" s="166">
        <v>32991</v>
      </c>
      <c r="K159" s="167">
        <f t="shared" si="119"/>
        <v>5.9038262040693474E-3</v>
      </c>
      <c r="L159" s="331">
        <v>34882</v>
      </c>
      <c r="M159" s="212">
        <f t="shared" si="120"/>
        <v>6.7978821757588327E-3</v>
      </c>
      <c r="N159" s="246">
        <v>37667</v>
      </c>
      <c r="O159" s="247">
        <f t="shared" si="102"/>
        <v>7.1211549175897457E-3</v>
      </c>
      <c r="P159" s="381">
        <v>37687</v>
      </c>
      <c r="Q159" s="247">
        <f t="shared" si="103"/>
        <v>7.7525870070369223E-3</v>
      </c>
      <c r="R159" s="430">
        <v>39327</v>
      </c>
      <c r="S159" s="431">
        <f t="shared" si="115"/>
        <v>7.2993649086655994E-3</v>
      </c>
      <c r="T159" s="566">
        <v>31426</v>
      </c>
      <c r="U159" s="506">
        <f t="shared" si="105"/>
        <v>6.9714778574718108E-3</v>
      </c>
      <c r="V159" s="538">
        <v>41905</v>
      </c>
      <c r="W159" s="506">
        <f t="shared" si="106"/>
        <v>7.9066037735849061E-3</v>
      </c>
      <c r="X159" s="474">
        <v>42095</v>
      </c>
      <c r="Y159" s="431">
        <f t="shared" si="107"/>
        <v>7.9424528301886791E-3</v>
      </c>
      <c r="Z159" s="521">
        <f t="shared" si="108"/>
        <v>4.4999999999999997E-3</v>
      </c>
      <c r="AA159" s="489">
        <v>46900</v>
      </c>
      <c r="AB159" s="506">
        <f t="shared" si="109"/>
        <v>8.5272727272727271E-3</v>
      </c>
      <c r="AC159" s="529">
        <f t="shared" si="113"/>
        <v>0.11409999999999999</v>
      </c>
      <c r="AD159" s="474">
        <v>49245</v>
      </c>
      <c r="AE159" s="431">
        <f t="shared" si="110"/>
        <v>8.4905172413793101E-3</v>
      </c>
      <c r="AF159" s="520">
        <f t="shared" si="114"/>
        <v>0.05</v>
      </c>
    </row>
    <row r="160" spans="1:32" ht="18" hidden="1" customHeight="1" thickBot="1" x14ac:dyDescent="0.3">
      <c r="A160" s="97"/>
      <c r="B160" s="98"/>
      <c r="C160" s="82" t="s">
        <v>226</v>
      </c>
      <c r="D160" s="37">
        <f>SUM(D116:D159)</f>
        <v>1206529.8900000001</v>
      </c>
      <c r="E160" s="38">
        <f t="shared" si="116"/>
        <v>0.22920252430586488</v>
      </c>
      <c r="F160" s="179">
        <f>SUM(F116:F159)</f>
        <v>1226164</v>
      </c>
      <c r="G160" s="180">
        <f t="shared" si="117"/>
        <v>0.23985388475134334</v>
      </c>
      <c r="H160" s="133">
        <f>SUM(H116:H159)</f>
        <v>1220875</v>
      </c>
      <c r="I160" s="38">
        <f t="shared" si="118"/>
        <v>0.22380839160249466</v>
      </c>
      <c r="J160" s="179">
        <f>SUM(J116:J159)</f>
        <v>1212427</v>
      </c>
      <c r="K160" s="180">
        <f t="shared" si="119"/>
        <v>0.21696699988242812</v>
      </c>
      <c r="L160" s="339">
        <f>SUM(L116:L159)</f>
        <v>1238341</v>
      </c>
      <c r="M160" s="219">
        <f t="shared" si="120"/>
        <v>0.24133066370653541</v>
      </c>
      <c r="N160" s="263">
        <f>SUM(N116:N159)</f>
        <v>1280754</v>
      </c>
      <c r="O160" s="264">
        <f t="shared" si="102"/>
        <v>0.24213363541887428</v>
      </c>
      <c r="P160" s="395">
        <f>SUM(P116:P159)</f>
        <v>1260034</v>
      </c>
      <c r="Q160" s="264">
        <f t="shared" si="103"/>
        <v>0.25920140146004622</v>
      </c>
      <c r="R160" s="447">
        <f>SUM(R116:R159)</f>
        <v>1151210</v>
      </c>
      <c r="S160" s="448">
        <f t="shared" si="115"/>
        <v>0.21367258820924365</v>
      </c>
      <c r="T160" s="395">
        <f>SUM(T116:T159)</f>
        <v>875720</v>
      </c>
      <c r="U160" s="514">
        <f t="shared" si="105"/>
        <v>0.19426788612439427</v>
      </c>
      <c r="V160" s="263">
        <f>SUM(V116:V159)</f>
        <v>1156515</v>
      </c>
      <c r="W160" s="514">
        <f t="shared" si="106"/>
        <v>0.21821037735849055</v>
      </c>
      <c r="X160" s="447">
        <f>SUM(X116:X159)</f>
        <v>1174205</v>
      </c>
      <c r="Y160" s="448">
        <f t="shared" si="107"/>
        <v>0.22154811320754716</v>
      </c>
      <c r="Z160" s="524">
        <f t="shared" si="108"/>
        <v>1.5299999999999999E-2</v>
      </c>
      <c r="AA160" s="395">
        <f>SUM(AA116:AA159)</f>
        <v>1241485</v>
      </c>
      <c r="AB160" s="514">
        <f t="shared" si="109"/>
        <v>0.22572454545454546</v>
      </c>
      <c r="AC160" s="533">
        <f t="shared" si="113"/>
        <v>5.7299999999999997E-2</v>
      </c>
      <c r="AD160" s="447">
        <f>SUM(AD116:AD159)</f>
        <v>1278755</v>
      </c>
      <c r="AE160" s="448">
        <f t="shared" si="110"/>
        <v>0.220475</v>
      </c>
      <c r="AF160" s="524">
        <f t="shared" si="114"/>
        <v>0.03</v>
      </c>
    </row>
    <row r="161" spans="1:32" ht="18" hidden="1" customHeight="1" thickTop="1" x14ac:dyDescent="0.25">
      <c r="A161" s="97"/>
      <c r="B161" s="98"/>
      <c r="C161" s="78"/>
      <c r="D161" s="33"/>
      <c r="E161" s="29"/>
      <c r="F161" s="183"/>
      <c r="G161" s="160"/>
      <c r="H161" s="136"/>
      <c r="I161" s="29"/>
      <c r="J161" s="183"/>
      <c r="K161" s="160"/>
      <c r="L161" s="341"/>
      <c r="M161" s="209"/>
      <c r="N161" s="267"/>
      <c r="O161" s="242"/>
      <c r="P161" s="397"/>
      <c r="Q161" s="242"/>
      <c r="R161" s="451"/>
      <c r="S161" s="426"/>
      <c r="T161" s="397"/>
      <c r="U161" s="504"/>
      <c r="V161" s="267"/>
      <c r="W161" s="504"/>
      <c r="X161" s="451"/>
      <c r="Y161" s="426"/>
      <c r="Z161" s="426"/>
      <c r="AA161" s="397"/>
      <c r="AB161" s="504"/>
      <c r="AC161" s="530"/>
      <c r="AD161" s="451"/>
      <c r="AE161" s="426"/>
      <c r="AF161" s="523"/>
    </row>
    <row r="162" spans="1:32" ht="18" hidden="1" customHeight="1" x14ac:dyDescent="0.25">
      <c r="A162" s="97"/>
      <c r="B162" s="98"/>
      <c r="C162" s="73" t="s">
        <v>37</v>
      </c>
      <c r="D162" s="28" t="s">
        <v>198</v>
      </c>
      <c r="E162" s="29"/>
      <c r="F162" s="159"/>
      <c r="G162" s="160"/>
      <c r="H162" s="122"/>
      <c r="I162" s="29"/>
      <c r="J162" s="159"/>
      <c r="K162" s="160"/>
      <c r="L162" s="328"/>
      <c r="M162" s="209"/>
      <c r="N162" s="241"/>
      <c r="O162" s="242"/>
      <c r="P162" s="378"/>
      <c r="Q162" s="242"/>
      <c r="R162" s="425"/>
      <c r="S162" s="426"/>
      <c r="T162" s="378"/>
      <c r="U162" s="504"/>
      <c r="V162" s="241"/>
      <c r="W162" s="504"/>
      <c r="X162" s="425"/>
      <c r="Y162" s="426"/>
      <c r="Z162" s="426"/>
      <c r="AA162" s="378"/>
      <c r="AB162" s="504"/>
      <c r="AC162" s="532"/>
      <c r="AD162" s="425"/>
      <c r="AE162" s="426"/>
      <c r="AF162" s="528"/>
    </row>
    <row r="163" spans="1:32" ht="18" hidden="1" customHeight="1" x14ac:dyDescent="0.25">
      <c r="A163" s="97"/>
      <c r="B163" s="98"/>
      <c r="C163" s="75" t="s">
        <v>214</v>
      </c>
      <c r="D163" s="106">
        <v>6</v>
      </c>
      <c r="E163" s="54"/>
      <c r="F163" s="177">
        <f>5+(30/37.5)+(25/37.5)</f>
        <v>6.4666666666666668</v>
      </c>
      <c r="G163" s="164"/>
      <c r="H163" s="132">
        <f>5+(30/37.5)+(25/37.5)</f>
        <v>6.4666666666666668</v>
      </c>
      <c r="I163" s="54"/>
      <c r="J163" s="177">
        <f>5+(30/37.5)+(25/37.5)</f>
        <v>6.4666666666666668</v>
      </c>
      <c r="K163" s="164"/>
      <c r="L163" s="338">
        <v>6.8</v>
      </c>
      <c r="M163" s="211"/>
      <c r="N163" s="261">
        <v>0</v>
      </c>
      <c r="O163" s="244"/>
      <c r="P163" s="394">
        <v>0</v>
      </c>
      <c r="Q163" s="244"/>
      <c r="R163" s="445">
        <v>0</v>
      </c>
      <c r="S163" s="428"/>
      <c r="T163" s="394">
        <v>0</v>
      </c>
      <c r="U163" s="505"/>
      <c r="V163" s="261">
        <v>0</v>
      </c>
      <c r="W163" s="505"/>
      <c r="X163" s="445">
        <v>0</v>
      </c>
      <c r="Y163" s="428"/>
      <c r="Z163" s="428"/>
      <c r="AA163" s="394">
        <v>0</v>
      </c>
      <c r="AB163" s="505"/>
      <c r="AC163" s="529" t="e">
        <f t="shared" si="113"/>
        <v>#DIV/0!</v>
      </c>
      <c r="AD163" s="445">
        <v>0</v>
      </c>
      <c r="AE163" s="428"/>
      <c r="AF163" s="520" t="e">
        <f t="shared" si="114"/>
        <v>#DIV/0!</v>
      </c>
    </row>
    <row r="164" spans="1:32" ht="18" hidden="1" customHeight="1" x14ac:dyDescent="0.25">
      <c r="A164" s="101">
        <v>1</v>
      </c>
      <c r="B164" s="102" t="s">
        <v>124</v>
      </c>
      <c r="C164" s="74" t="s">
        <v>215</v>
      </c>
      <c r="D164" s="51">
        <v>186367</v>
      </c>
      <c r="E164" s="52">
        <f>D164/D$12</f>
        <v>3.5403836408322314E-2</v>
      </c>
      <c r="F164" s="161">
        <v>187122</v>
      </c>
      <c r="G164" s="162">
        <f>F164/F$12</f>
        <v>3.6603536413106944E-2</v>
      </c>
      <c r="H164" s="123">
        <v>190766</v>
      </c>
      <c r="I164" s="52">
        <f>H164/H$12</f>
        <v>3.4970846018176717E-2</v>
      </c>
      <c r="J164" s="161">
        <v>201900</v>
      </c>
      <c r="K164" s="162">
        <f>J164/J$12</f>
        <v>3.6130535921966633E-2</v>
      </c>
      <c r="L164" s="336">
        <v>233585</v>
      </c>
      <c r="M164" s="210">
        <f>L164/L$12</f>
        <v>4.5521567227355855E-2</v>
      </c>
      <c r="N164" s="255">
        <v>0</v>
      </c>
      <c r="O164" s="256">
        <f>N164/N$12</f>
        <v>0</v>
      </c>
      <c r="P164" s="387">
        <v>0</v>
      </c>
      <c r="Q164" s="256">
        <f>P164/P$12</f>
        <v>0</v>
      </c>
      <c r="R164" s="439">
        <v>0</v>
      </c>
      <c r="S164" s="440">
        <f>R164/R$12</f>
        <v>0</v>
      </c>
      <c r="T164" s="387">
        <v>0</v>
      </c>
      <c r="U164" s="510">
        <f>T164/T$12</f>
        <v>0</v>
      </c>
      <c r="V164" s="255">
        <v>0</v>
      </c>
      <c r="W164" s="510">
        <f>V164/V$12</f>
        <v>0</v>
      </c>
      <c r="X164" s="439">
        <v>0</v>
      </c>
      <c r="Y164" s="440">
        <f>X164/X$12</f>
        <v>0</v>
      </c>
      <c r="Z164" s="440">
        <f>X164/X$12</f>
        <v>0</v>
      </c>
      <c r="AA164" s="387">
        <v>0</v>
      </c>
      <c r="AB164" s="510">
        <f>AA164/AA$12</f>
        <v>0</v>
      </c>
      <c r="AC164" s="529" t="e">
        <f t="shared" si="113"/>
        <v>#DIV/0!</v>
      </c>
      <c r="AD164" s="439">
        <v>0</v>
      </c>
      <c r="AE164" s="440">
        <f>AD164/AD$12</f>
        <v>0</v>
      </c>
      <c r="AF164" s="520" t="e">
        <f t="shared" si="114"/>
        <v>#DIV/0!</v>
      </c>
    </row>
    <row r="165" spans="1:32" ht="18" hidden="1" customHeight="1" x14ac:dyDescent="0.25">
      <c r="A165" s="103">
        <v>2</v>
      </c>
      <c r="B165" s="104" t="s">
        <v>125</v>
      </c>
      <c r="C165" s="75" t="s">
        <v>26</v>
      </c>
      <c r="D165" s="53">
        <v>5092</v>
      </c>
      <c r="E165" s="54">
        <f>D165/D$12</f>
        <v>9.6731897273217475E-4</v>
      </c>
      <c r="F165" s="165">
        <v>12512</v>
      </c>
      <c r="G165" s="164">
        <f>F165/F$12</f>
        <v>2.4475125725504972E-3</v>
      </c>
      <c r="H165" s="125">
        <v>9582</v>
      </c>
      <c r="I165" s="54">
        <f>H165/H$12</f>
        <v>1.756553298523685E-3</v>
      </c>
      <c r="J165" s="165">
        <v>10860</v>
      </c>
      <c r="K165" s="164">
        <f>J165/J$12</f>
        <v>1.9434255577640298E-3</v>
      </c>
      <c r="L165" s="329">
        <v>0</v>
      </c>
      <c r="M165" s="211">
        <f>L165/L$12</f>
        <v>0</v>
      </c>
      <c r="N165" s="255">
        <v>0</v>
      </c>
      <c r="O165" s="244">
        <f>N165/N$12</f>
        <v>0</v>
      </c>
      <c r="P165" s="387">
        <v>0</v>
      </c>
      <c r="Q165" s="244">
        <f>P165/P$12</f>
        <v>0</v>
      </c>
      <c r="R165" s="439">
        <v>0</v>
      </c>
      <c r="S165" s="428">
        <f>R165/R$12</f>
        <v>0</v>
      </c>
      <c r="T165" s="387">
        <v>0</v>
      </c>
      <c r="U165" s="505">
        <f>T165/T$12</f>
        <v>0</v>
      </c>
      <c r="V165" s="243">
        <v>0</v>
      </c>
      <c r="W165" s="505">
        <f>V165/V$12</f>
        <v>0</v>
      </c>
      <c r="X165" s="427">
        <v>0</v>
      </c>
      <c r="Y165" s="428">
        <f>X165/X$12</f>
        <v>0</v>
      </c>
      <c r="Z165" s="428">
        <f>X165/X$12</f>
        <v>0</v>
      </c>
      <c r="AA165" s="379">
        <v>0</v>
      </c>
      <c r="AB165" s="505">
        <f>AA165/AA$12</f>
        <v>0</v>
      </c>
      <c r="AC165" s="529" t="e">
        <f t="shared" si="113"/>
        <v>#DIV/0!</v>
      </c>
      <c r="AD165" s="427">
        <v>0</v>
      </c>
      <c r="AE165" s="428">
        <f>AD165/AD$12</f>
        <v>0</v>
      </c>
      <c r="AF165" s="520" t="e">
        <f t="shared" si="114"/>
        <v>#DIV/0!</v>
      </c>
    </row>
    <row r="166" spans="1:32" ht="18" hidden="1" customHeight="1" x14ac:dyDescent="0.25">
      <c r="A166" s="101">
        <v>3</v>
      </c>
      <c r="B166" s="104"/>
      <c r="C166" s="75" t="s">
        <v>349</v>
      </c>
      <c r="D166" s="53"/>
      <c r="E166" s="54"/>
      <c r="F166" s="165"/>
      <c r="G166" s="164"/>
      <c r="H166" s="125"/>
      <c r="I166" s="54"/>
      <c r="J166" s="165"/>
      <c r="K166" s="164"/>
      <c r="L166" s="329">
        <v>0</v>
      </c>
      <c r="M166" s="211"/>
      <c r="N166" s="255">
        <v>0</v>
      </c>
      <c r="O166" s="244"/>
      <c r="P166" s="387">
        <v>0</v>
      </c>
      <c r="Q166" s="244"/>
      <c r="R166" s="439">
        <v>0</v>
      </c>
      <c r="S166" s="428"/>
      <c r="T166" s="387">
        <v>0</v>
      </c>
      <c r="U166" s="505"/>
      <c r="V166" s="243">
        <v>0</v>
      </c>
      <c r="W166" s="505"/>
      <c r="X166" s="427">
        <v>0</v>
      </c>
      <c r="Y166" s="428"/>
      <c r="Z166" s="428"/>
      <c r="AA166" s="379">
        <v>0</v>
      </c>
      <c r="AB166" s="505"/>
      <c r="AC166" s="529" t="e">
        <f t="shared" si="113"/>
        <v>#DIV/0!</v>
      </c>
      <c r="AD166" s="427">
        <v>0</v>
      </c>
      <c r="AE166" s="428"/>
      <c r="AF166" s="520" t="e">
        <f t="shared" si="114"/>
        <v>#DIV/0!</v>
      </c>
    </row>
    <row r="167" spans="1:32" ht="18" hidden="1" customHeight="1" x14ac:dyDescent="0.25">
      <c r="A167" s="103">
        <v>4</v>
      </c>
      <c r="B167" s="104" t="s">
        <v>126</v>
      </c>
      <c r="C167" s="75" t="s">
        <v>222</v>
      </c>
      <c r="D167" s="53">
        <f>10887+1839</f>
        <v>12726</v>
      </c>
      <c r="E167" s="54">
        <f t="shared" ref="E167:E181" si="121">D167/D$12</f>
        <v>2.4175375583247558E-3</v>
      </c>
      <c r="F167" s="165">
        <f>7187+1365</f>
        <v>8552</v>
      </c>
      <c r="G167" s="164">
        <f t="shared" ref="G167:G181" si="122">F167/F$12</f>
        <v>1.6728842327726862E-3</v>
      </c>
      <c r="H167" s="125">
        <v>7943</v>
      </c>
      <c r="I167" s="54">
        <f t="shared" ref="I167:I181" si="123">H167/H$12</f>
        <v>1.4560950584610341E-3</v>
      </c>
      <c r="J167" s="165">
        <v>8004</v>
      </c>
      <c r="K167" s="164">
        <f t="shared" ref="K167:K181" si="124">J167/J$12</f>
        <v>1.4323368475454231E-3</v>
      </c>
      <c r="L167" s="329">
        <v>593</v>
      </c>
      <c r="M167" s="211">
        <f t="shared" ref="M167:M181" si="125">L167/L$12</f>
        <v>1.1556516628131952E-4</v>
      </c>
      <c r="N167" s="255">
        <v>0</v>
      </c>
      <c r="O167" s="244">
        <f t="shared" ref="O167:O181" si="126">N167/N$12</f>
        <v>0</v>
      </c>
      <c r="P167" s="387">
        <v>0</v>
      </c>
      <c r="Q167" s="244">
        <f t="shared" ref="Q167:Q181" si="127">P167/P$12</f>
        <v>0</v>
      </c>
      <c r="R167" s="439">
        <v>0</v>
      </c>
      <c r="S167" s="428">
        <f t="shared" ref="S167:S181" si="128">R167/R$12</f>
        <v>0</v>
      </c>
      <c r="T167" s="387">
        <v>0</v>
      </c>
      <c r="U167" s="505">
        <f t="shared" ref="U167:U181" si="129">T167/T$12</f>
        <v>0</v>
      </c>
      <c r="V167" s="243">
        <v>0</v>
      </c>
      <c r="W167" s="505">
        <f t="shared" ref="W167:W181" si="130">V167/V$12</f>
        <v>0</v>
      </c>
      <c r="X167" s="427">
        <v>0</v>
      </c>
      <c r="Y167" s="428">
        <f t="shared" ref="Y167:Y181" si="131">X167/X$12</f>
        <v>0</v>
      </c>
      <c r="Z167" s="428">
        <f t="shared" ref="Z167:Z181" si="132">X167/X$12</f>
        <v>0</v>
      </c>
      <c r="AA167" s="379">
        <v>0</v>
      </c>
      <c r="AB167" s="505">
        <f t="shared" ref="AB167:AB181" si="133">AA167/AA$12</f>
        <v>0</v>
      </c>
      <c r="AC167" s="529" t="e">
        <f t="shared" si="113"/>
        <v>#DIV/0!</v>
      </c>
      <c r="AD167" s="427">
        <v>0</v>
      </c>
      <c r="AE167" s="428">
        <f t="shared" ref="AE167:AE181" si="134">AD167/AD$12</f>
        <v>0</v>
      </c>
      <c r="AF167" s="520" t="e">
        <f t="shared" si="114"/>
        <v>#DIV/0!</v>
      </c>
    </row>
    <row r="168" spans="1:32" ht="18" hidden="1" customHeight="1" x14ac:dyDescent="0.25">
      <c r="A168" s="101">
        <v>5</v>
      </c>
      <c r="B168" s="104" t="s">
        <v>127</v>
      </c>
      <c r="C168" s="75" t="s">
        <v>217</v>
      </c>
      <c r="D168" s="53">
        <v>31838</v>
      </c>
      <c r="E168" s="54">
        <f t="shared" si="121"/>
        <v>6.0482131684695562E-3</v>
      </c>
      <c r="F168" s="165">
        <v>28564</v>
      </c>
      <c r="G168" s="164">
        <f t="shared" si="122"/>
        <v>5.5874959336902489E-3</v>
      </c>
      <c r="H168" s="125">
        <v>31548</v>
      </c>
      <c r="I168" s="54">
        <f t="shared" si="123"/>
        <v>5.7833169966421639E-3</v>
      </c>
      <c r="J168" s="165">
        <v>33863</v>
      </c>
      <c r="K168" s="164">
        <f t="shared" si="124"/>
        <v>6.0598728971052798E-3</v>
      </c>
      <c r="L168" s="329">
        <v>35083</v>
      </c>
      <c r="M168" s="211">
        <f t="shared" si="125"/>
        <v>6.837053505307813E-3</v>
      </c>
      <c r="N168" s="255">
        <v>0</v>
      </c>
      <c r="O168" s="244">
        <f t="shared" si="126"/>
        <v>0</v>
      </c>
      <c r="P168" s="387">
        <v>0</v>
      </c>
      <c r="Q168" s="244">
        <f t="shared" si="127"/>
        <v>0</v>
      </c>
      <c r="R168" s="439">
        <v>0</v>
      </c>
      <c r="S168" s="428">
        <f t="shared" si="128"/>
        <v>0</v>
      </c>
      <c r="T168" s="387">
        <v>0</v>
      </c>
      <c r="U168" s="505">
        <f t="shared" si="129"/>
        <v>0</v>
      </c>
      <c r="V168" s="243">
        <v>0</v>
      </c>
      <c r="W168" s="505">
        <f t="shared" si="130"/>
        <v>0</v>
      </c>
      <c r="X168" s="427">
        <v>0</v>
      </c>
      <c r="Y168" s="428">
        <f t="shared" si="131"/>
        <v>0</v>
      </c>
      <c r="Z168" s="428">
        <f t="shared" si="132"/>
        <v>0</v>
      </c>
      <c r="AA168" s="379">
        <v>0</v>
      </c>
      <c r="AB168" s="505">
        <f t="shared" si="133"/>
        <v>0</v>
      </c>
      <c r="AC168" s="529" t="e">
        <f t="shared" si="113"/>
        <v>#DIV/0!</v>
      </c>
      <c r="AD168" s="427">
        <v>0</v>
      </c>
      <c r="AE168" s="428">
        <f t="shared" si="134"/>
        <v>0</v>
      </c>
      <c r="AF168" s="520" t="e">
        <f t="shared" si="114"/>
        <v>#DIV/0!</v>
      </c>
    </row>
    <row r="169" spans="1:32" ht="18" hidden="1" customHeight="1" x14ac:dyDescent="0.25">
      <c r="A169" s="103">
        <v>6</v>
      </c>
      <c r="B169" s="104" t="s">
        <v>128</v>
      </c>
      <c r="C169" s="75" t="s">
        <v>323</v>
      </c>
      <c r="D169" s="53">
        <v>931</v>
      </c>
      <c r="E169" s="54">
        <f t="shared" si="121"/>
        <v>1.7686055844730062E-4</v>
      </c>
      <c r="F169" s="165">
        <v>691</v>
      </c>
      <c r="G169" s="164">
        <f t="shared" si="122"/>
        <v>1.3516873302688566E-4</v>
      </c>
      <c r="H169" s="125">
        <v>917</v>
      </c>
      <c r="I169" s="54">
        <f t="shared" si="123"/>
        <v>1.6810262729557703E-4</v>
      </c>
      <c r="J169" s="165">
        <v>886</v>
      </c>
      <c r="K169" s="164">
        <f t="shared" si="124"/>
        <v>1.5855202985073024E-4</v>
      </c>
      <c r="L169" s="329">
        <v>3800</v>
      </c>
      <c r="M169" s="211">
        <f t="shared" si="125"/>
        <v>7.4055249893594302E-4</v>
      </c>
      <c r="N169" s="255">
        <v>0</v>
      </c>
      <c r="O169" s="244">
        <f t="shared" si="126"/>
        <v>0</v>
      </c>
      <c r="P169" s="387">
        <v>0</v>
      </c>
      <c r="Q169" s="244">
        <f t="shared" si="127"/>
        <v>0</v>
      </c>
      <c r="R169" s="439">
        <v>0</v>
      </c>
      <c r="S169" s="428">
        <f t="shared" si="128"/>
        <v>0</v>
      </c>
      <c r="T169" s="387">
        <v>0</v>
      </c>
      <c r="U169" s="505">
        <f t="shared" si="129"/>
        <v>0</v>
      </c>
      <c r="V169" s="243">
        <v>0</v>
      </c>
      <c r="W169" s="505">
        <f t="shared" si="130"/>
        <v>0</v>
      </c>
      <c r="X169" s="427">
        <v>0</v>
      </c>
      <c r="Y169" s="428">
        <f t="shared" si="131"/>
        <v>0</v>
      </c>
      <c r="Z169" s="428">
        <f t="shared" si="132"/>
        <v>0</v>
      </c>
      <c r="AA169" s="379">
        <v>0</v>
      </c>
      <c r="AB169" s="505">
        <f t="shared" si="133"/>
        <v>0</v>
      </c>
      <c r="AC169" s="529" t="e">
        <f t="shared" si="113"/>
        <v>#DIV/0!</v>
      </c>
      <c r="AD169" s="427">
        <v>0</v>
      </c>
      <c r="AE169" s="428">
        <f t="shared" si="134"/>
        <v>0</v>
      </c>
      <c r="AF169" s="520" t="e">
        <f t="shared" si="114"/>
        <v>#DIV/0!</v>
      </c>
    </row>
    <row r="170" spans="1:32" ht="18" hidden="1" customHeight="1" x14ac:dyDescent="0.25">
      <c r="A170" s="101">
        <v>7</v>
      </c>
      <c r="B170" s="104" t="s">
        <v>129</v>
      </c>
      <c r="C170" s="75" t="s">
        <v>258</v>
      </c>
      <c r="D170" s="53">
        <v>152.81</v>
      </c>
      <c r="E170" s="54">
        <f t="shared" si="121"/>
        <v>2.9029067600786259E-5</v>
      </c>
      <c r="F170" s="165">
        <v>3198</v>
      </c>
      <c r="G170" s="164">
        <f t="shared" si="122"/>
        <v>6.2557106833571686E-4</v>
      </c>
      <c r="H170" s="125">
        <v>2114</v>
      </c>
      <c r="I170" s="54">
        <f t="shared" si="123"/>
        <v>3.8753430109362034E-4</v>
      </c>
      <c r="J170" s="165">
        <v>465</v>
      </c>
      <c r="K170" s="164">
        <f t="shared" si="124"/>
        <v>8.3212972777189126E-5</v>
      </c>
      <c r="L170" s="329">
        <v>714</v>
      </c>
      <c r="M170" s="211">
        <f t="shared" si="125"/>
        <v>1.3914591690533245E-4</v>
      </c>
      <c r="N170" s="255">
        <v>0</v>
      </c>
      <c r="O170" s="244">
        <f t="shared" si="126"/>
        <v>0</v>
      </c>
      <c r="P170" s="387">
        <v>0</v>
      </c>
      <c r="Q170" s="244">
        <f t="shared" si="127"/>
        <v>0</v>
      </c>
      <c r="R170" s="439">
        <v>0</v>
      </c>
      <c r="S170" s="428">
        <f t="shared" si="128"/>
        <v>0</v>
      </c>
      <c r="T170" s="387">
        <v>0</v>
      </c>
      <c r="U170" s="505">
        <f t="shared" si="129"/>
        <v>0</v>
      </c>
      <c r="V170" s="243">
        <v>0</v>
      </c>
      <c r="W170" s="505">
        <f t="shared" si="130"/>
        <v>0</v>
      </c>
      <c r="X170" s="427">
        <v>0</v>
      </c>
      <c r="Y170" s="428">
        <f t="shared" si="131"/>
        <v>0</v>
      </c>
      <c r="Z170" s="428">
        <f t="shared" si="132"/>
        <v>0</v>
      </c>
      <c r="AA170" s="379">
        <v>0</v>
      </c>
      <c r="AB170" s="505">
        <f t="shared" si="133"/>
        <v>0</v>
      </c>
      <c r="AC170" s="529" t="e">
        <f t="shared" si="113"/>
        <v>#DIV/0!</v>
      </c>
      <c r="AD170" s="427">
        <v>0</v>
      </c>
      <c r="AE170" s="428">
        <f t="shared" si="134"/>
        <v>0</v>
      </c>
      <c r="AF170" s="520" t="e">
        <f t="shared" si="114"/>
        <v>#DIV/0!</v>
      </c>
    </row>
    <row r="171" spans="1:32" ht="18" hidden="1" customHeight="1" x14ac:dyDescent="0.25">
      <c r="A171" s="103">
        <v>8</v>
      </c>
      <c r="B171" s="104" t="s">
        <v>130</v>
      </c>
      <c r="C171" s="75" t="s">
        <v>220</v>
      </c>
      <c r="D171" s="53">
        <v>1916</v>
      </c>
      <c r="E171" s="54">
        <f t="shared" si="121"/>
        <v>3.6397940922129753E-4</v>
      </c>
      <c r="F171" s="165">
        <v>1659</v>
      </c>
      <c r="G171" s="164">
        <f t="shared" si="122"/>
        <v>3.2452232719479496E-4</v>
      </c>
      <c r="H171" s="125">
        <v>1722</v>
      </c>
      <c r="I171" s="54">
        <f t="shared" si="123"/>
        <v>3.1567363599016758E-4</v>
      </c>
      <c r="J171" s="165">
        <v>1753</v>
      </c>
      <c r="K171" s="164">
        <f t="shared" si="124"/>
        <v>3.1370395973852159E-4</v>
      </c>
      <c r="L171" s="329">
        <v>1344</v>
      </c>
      <c r="M171" s="211">
        <f t="shared" si="125"/>
        <v>2.6192172593944932E-4</v>
      </c>
      <c r="N171" s="255">
        <v>0</v>
      </c>
      <c r="O171" s="244">
        <f t="shared" si="126"/>
        <v>0</v>
      </c>
      <c r="P171" s="387">
        <v>0</v>
      </c>
      <c r="Q171" s="244">
        <f t="shared" si="127"/>
        <v>0</v>
      </c>
      <c r="R171" s="439">
        <v>0</v>
      </c>
      <c r="S171" s="428">
        <f t="shared" si="128"/>
        <v>0</v>
      </c>
      <c r="T171" s="387">
        <v>0</v>
      </c>
      <c r="U171" s="505">
        <f t="shared" si="129"/>
        <v>0</v>
      </c>
      <c r="V171" s="243">
        <v>0</v>
      </c>
      <c r="W171" s="505">
        <f t="shared" si="130"/>
        <v>0</v>
      </c>
      <c r="X171" s="427">
        <v>0</v>
      </c>
      <c r="Y171" s="428">
        <f t="shared" si="131"/>
        <v>0</v>
      </c>
      <c r="Z171" s="428">
        <f t="shared" si="132"/>
        <v>0</v>
      </c>
      <c r="AA171" s="379">
        <v>0</v>
      </c>
      <c r="AB171" s="505">
        <f t="shared" si="133"/>
        <v>0</v>
      </c>
      <c r="AC171" s="529" t="e">
        <f t="shared" si="113"/>
        <v>#DIV/0!</v>
      </c>
      <c r="AD171" s="427">
        <v>0</v>
      </c>
      <c r="AE171" s="428">
        <f t="shared" si="134"/>
        <v>0</v>
      </c>
      <c r="AF171" s="520" t="e">
        <f t="shared" si="114"/>
        <v>#DIV/0!</v>
      </c>
    </row>
    <row r="172" spans="1:32" ht="18" hidden="1" customHeight="1" x14ac:dyDescent="0.25">
      <c r="A172" s="101">
        <v>9</v>
      </c>
      <c r="B172" s="104" t="s">
        <v>131</v>
      </c>
      <c r="C172" s="75" t="s">
        <v>259</v>
      </c>
      <c r="D172" s="53">
        <v>828</v>
      </c>
      <c r="E172" s="54">
        <f t="shared" si="121"/>
        <v>1.5729381567600956E-4</v>
      </c>
      <c r="F172" s="165">
        <v>937</v>
      </c>
      <c r="G172" s="164">
        <f t="shared" si="122"/>
        <v>1.8328958443732544E-4</v>
      </c>
      <c r="H172" s="125">
        <v>921</v>
      </c>
      <c r="I172" s="54">
        <f t="shared" si="123"/>
        <v>1.688358993884694E-4</v>
      </c>
      <c r="J172" s="165">
        <v>1129</v>
      </c>
      <c r="K172" s="164">
        <f t="shared" si="124"/>
        <v>2.0203751885042263E-4</v>
      </c>
      <c r="L172" s="329">
        <v>800</v>
      </c>
      <c r="M172" s="211">
        <f t="shared" si="125"/>
        <v>1.559057892496722E-4</v>
      </c>
      <c r="N172" s="255">
        <v>0</v>
      </c>
      <c r="O172" s="244">
        <f t="shared" si="126"/>
        <v>0</v>
      </c>
      <c r="P172" s="387">
        <v>0</v>
      </c>
      <c r="Q172" s="244">
        <f t="shared" si="127"/>
        <v>0</v>
      </c>
      <c r="R172" s="439">
        <v>0</v>
      </c>
      <c r="S172" s="428">
        <f t="shared" si="128"/>
        <v>0</v>
      </c>
      <c r="T172" s="387">
        <v>0</v>
      </c>
      <c r="U172" s="505">
        <f t="shared" si="129"/>
        <v>0</v>
      </c>
      <c r="V172" s="243">
        <v>0</v>
      </c>
      <c r="W172" s="505">
        <f t="shared" si="130"/>
        <v>0</v>
      </c>
      <c r="X172" s="427">
        <v>0</v>
      </c>
      <c r="Y172" s="428">
        <f t="shared" si="131"/>
        <v>0</v>
      </c>
      <c r="Z172" s="428">
        <f t="shared" si="132"/>
        <v>0</v>
      </c>
      <c r="AA172" s="379">
        <v>0</v>
      </c>
      <c r="AB172" s="505">
        <f t="shared" si="133"/>
        <v>0</v>
      </c>
      <c r="AC172" s="529" t="e">
        <f t="shared" si="113"/>
        <v>#DIV/0!</v>
      </c>
      <c r="AD172" s="427">
        <v>0</v>
      </c>
      <c r="AE172" s="428">
        <f t="shared" si="134"/>
        <v>0</v>
      </c>
      <c r="AF172" s="520" t="e">
        <f t="shared" si="114"/>
        <v>#DIV/0!</v>
      </c>
    </row>
    <row r="173" spans="1:32" ht="18" hidden="1" customHeight="1" x14ac:dyDescent="0.25">
      <c r="A173" s="103">
        <v>10</v>
      </c>
      <c r="B173" s="104" t="s">
        <v>132</v>
      </c>
      <c r="C173" s="75" t="s">
        <v>260</v>
      </c>
      <c r="D173" s="53">
        <v>13559</v>
      </c>
      <c r="E173" s="54">
        <f t="shared" si="121"/>
        <v>2.5757812158828668E-3</v>
      </c>
      <c r="F173" s="165">
        <v>9390</v>
      </c>
      <c r="G173" s="164">
        <f t="shared" si="122"/>
        <v>1.8368081087155664E-3</v>
      </c>
      <c r="H173" s="125">
        <v>13148</v>
      </c>
      <c r="I173" s="54">
        <f t="shared" si="123"/>
        <v>2.4102653693372374E-3</v>
      </c>
      <c r="J173" s="165">
        <v>13541</v>
      </c>
      <c r="K173" s="164">
        <f t="shared" si="124"/>
        <v>2.4231975577976728E-3</v>
      </c>
      <c r="L173" s="329">
        <v>13317</v>
      </c>
      <c r="M173" s="211">
        <f t="shared" si="125"/>
        <v>2.5952467442973558E-3</v>
      </c>
      <c r="N173" s="255">
        <v>0</v>
      </c>
      <c r="O173" s="244">
        <f t="shared" si="126"/>
        <v>0</v>
      </c>
      <c r="P173" s="387">
        <v>0</v>
      </c>
      <c r="Q173" s="244">
        <f t="shared" si="127"/>
        <v>0</v>
      </c>
      <c r="R173" s="439">
        <v>0</v>
      </c>
      <c r="S173" s="428">
        <f t="shared" si="128"/>
        <v>0</v>
      </c>
      <c r="T173" s="387">
        <v>0</v>
      </c>
      <c r="U173" s="505">
        <f t="shared" si="129"/>
        <v>0</v>
      </c>
      <c r="V173" s="243">
        <v>0</v>
      </c>
      <c r="W173" s="505">
        <f t="shared" si="130"/>
        <v>0</v>
      </c>
      <c r="X173" s="427">
        <v>0</v>
      </c>
      <c r="Y173" s="428">
        <f t="shared" si="131"/>
        <v>0</v>
      </c>
      <c r="Z173" s="428">
        <f t="shared" si="132"/>
        <v>0</v>
      </c>
      <c r="AA173" s="379">
        <v>0</v>
      </c>
      <c r="AB173" s="505">
        <f t="shared" si="133"/>
        <v>0</v>
      </c>
      <c r="AC173" s="529" t="e">
        <f t="shared" si="113"/>
        <v>#DIV/0!</v>
      </c>
      <c r="AD173" s="427">
        <v>0</v>
      </c>
      <c r="AE173" s="428">
        <f t="shared" si="134"/>
        <v>0</v>
      </c>
      <c r="AF173" s="520" t="e">
        <f t="shared" si="114"/>
        <v>#DIV/0!</v>
      </c>
    </row>
    <row r="174" spans="1:32" ht="18" hidden="1" customHeight="1" x14ac:dyDescent="0.25">
      <c r="A174" s="101">
        <v>11</v>
      </c>
      <c r="B174" s="104" t="s">
        <v>133</v>
      </c>
      <c r="C174" s="75" t="s">
        <v>261</v>
      </c>
      <c r="D174" s="53">
        <v>2328</v>
      </c>
      <c r="E174" s="54">
        <f t="shared" si="121"/>
        <v>4.422463803064617E-4</v>
      </c>
      <c r="F174" s="165">
        <v>4617</v>
      </c>
      <c r="G174" s="164">
        <f t="shared" si="122"/>
        <v>9.0314622342276571E-4</v>
      </c>
      <c r="H174" s="125">
        <v>5554</v>
      </c>
      <c r="I174" s="54">
        <f t="shared" si="123"/>
        <v>1.018148300981063E-3</v>
      </c>
      <c r="J174" s="165">
        <v>6798</v>
      </c>
      <c r="K174" s="164">
        <f t="shared" si="124"/>
        <v>1.2165199762136166E-3</v>
      </c>
      <c r="L174" s="329">
        <v>5571</v>
      </c>
      <c r="M174" s="211">
        <f t="shared" si="125"/>
        <v>1.0856889398874049E-3</v>
      </c>
      <c r="N174" s="255">
        <v>0</v>
      </c>
      <c r="O174" s="244">
        <f t="shared" si="126"/>
        <v>0</v>
      </c>
      <c r="P174" s="387">
        <v>0</v>
      </c>
      <c r="Q174" s="244">
        <f t="shared" si="127"/>
        <v>0</v>
      </c>
      <c r="R174" s="439">
        <v>0</v>
      </c>
      <c r="S174" s="428">
        <f t="shared" si="128"/>
        <v>0</v>
      </c>
      <c r="T174" s="387">
        <v>0</v>
      </c>
      <c r="U174" s="505">
        <f t="shared" si="129"/>
        <v>0</v>
      </c>
      <c r="V174" s="243">
        <v>0</v>
      </c>
      <c r="W174" s="505">
        <f t="shared" si="130"/>
        <v>0</v>
      </c>
      <c r="X174" s="427">
        <v>0</v>
      </c>
      <c r="Y174" s="428">
        <f t="shared" si="131"/>
        <v>0</v>
      </c>
      <c r="Z174" s="428">
        <f t="shared" si="132"/>
        <v>0</v>
      </c>
      <c r="AA174" s="379">
        <v>0</v>
      </c>
      <c r="AB174" s="505">
        <f t="shared" si="133"/>
        <v>0</v>
      </c>
      <c r="AC174" s="529" t="e">
        <f t="shared" si="113"/>
        <v>#DIV/0!</v>
      </c>
      <c r="AD174" s="427">
        <v>0</v>
      </c>
      <c r="AE174" s="428">
        <f t="shared" si="134"/>
        <v>0</v>
      </c>
      <c r="AF174" s="520" t="e">
        <f t="shared" si="114"/>
        <v>#DIV/0!</v>
      </c>
    </row>
    <row r="175" spans="1:32" ht="18" hidden="1" customHeight="1" x14ac:dyDescent="0.25">
      <c r="A175" s="103">
        <v>12</v>
      </c>
      <c r="B175" s="104" t="s">
        <v>134</v>
      </c>
      <c r="C175" s="75" t="s">
        <v>218</v>
      </c>
      <c r="D175" s="53">
        <v>3167</v>
      </c>
      <c r="E175" s="54">
        <f t="shared" si="121"/>
        <v>6.0162984812309455E-4</v>
      </c>
      <c r="F175" s="165">
        <v>4858</v>
      </c>
      <c r="G175" s="164">
        <f t="shared" si="122"/>
        <v>9.5028900874762751E-4</v>
      </c>
      <c r="H175" s="125">
        <v>3904</v>
      </c>
      <c r="I175" s="54">
        <f t="shared" si="123"/>
        <v>7.1567356266295822E-4</v>
      </c>
      <c r="J175" s="165">
        <v>4300</v>
      </c>
      <c r="K175" s="164">
        <f t="shared" si="124"/>
        <v>7.6949630740196396E-4</v>
      </c>
      <c r="L175" s="329">
        <v>4108</v>
      </c>
      <c r="M175" s="211">
        <f t="shared" si="125"/>
        <v>8.005762277970668E-4</v>
      </c>
      <c r="N175" s="255">
        <v>0</v>
      </c>
      <c r="O175" s="244">
        <f t="shared" si="126"/>
        <v>0</v>
      </c>
      <c r="P175" s="387">
        <v>0</v>
      </c>
      <c r="Q175" s="244">
        <f t="shared" si="127"/>
        <v>0</v>
      </c>
      <c r="R175" s="439">
        <v>0</v>
      </c>
      <c r="S175" s="428">
        <f t="shared" si="128"/>
        <v>0</v>
      </c>
      <c r="T175" s="387">
        <v>0</v>
      </c>
      <c r="U175" s="505">
        <f t="shared" si="129"/>
        <v>0</v>
      </c>
      <c r="V175" s="243">
        <v>0</v>
      </c>
      <c r="W175" s="505">
        <f t="shared" si="130"/>
        <v>0</v>
      </c>
      <c r="X175" s="427">
        <v>0</v>
      </c>
      <c r="Y175" s="428">
        <f t="shared" si="131"/>
        <v>0</v>
      </c>
      <c r="Z175" s="428">
        <f t="shared" si="132"/>
        <v>0</v>
      </c>
      <c r="AA175" s="379">
        <v>0</v>
      </c>
      <c r="AB175" s="505">
        <f t="shared" si="133"/>
        <v>0</v>
      </c>
      <c r="AC175" s="529" t="e">
        <f t="shared" si="113"/>
        <v>#DIV/0!</v>
      </c>
      <c r="AD175" s="427">
        <v>0</v>
      </c>
      <c r="AE175" s="428">
        <f t="shared" si="134"/>
        <v>0</v>
      </c>
      <c r="AF175" s="520" t="e">
        <f t="shared" si="114"/>
        <v>#DIV/0!</v>
      </c>
    </row>
    <row r="176" spans="1:32" ht="18" hidden="1" customHeight="1" x14ac:dyDescent="0.25">
      <c r="A176" s="101">
        <v>13</v>
      </c>
      <c r="B176" s="104" t="s">
        <v>135</v>
      </c>
      <c r="C176" s="75" t="s">
        <v>262</v>
      </c>
      <c r="D176" s="53">
        <v>34500</v>
      </c>
      <c r="E176" s="54">
        <f t="shared" si="121"/>
        <v>6.5539089865003985E-3</v>
      </c>
      <c r="F176" s="165">
        <v>34500</v>
      </c>
      <c r="G176" s="164">
        <f t="shared" si="122"/>
        <v>6.748655990488503E-3</v>
      </c>
      <c r="H176" s="125">
        <v>40000</v>
      </c>
      <c r="I176" s="54">
        <f t="shared" si="123"/>
        <v>7.3327209289237531E-3</v>
      </c>
      <c r="J176" s="165">
        <v>47350</v>
      </c>
      <c r="K176" s="164">
        <f t="shared" si="124"/>
        <v>8.4734070129030212E-3</v>
      </c>
      <c r="L176" s="329">
        <v>48000</v>
      </c>
      <c r="M176" s="211">
        <f t="shared" si="125"/>
        <v>9.3543473549803323E-3</v>
      </c>
      <c r="N176" s="255">
        <v>0</v>
      </c>
      <c r="O176" s="244">
        <f t="shared" si="126"/>
        <v>0</v>
      </c>
      <c r="P176" s="387">
        <v>0</v>
      </c>
      <c r="Q176" s="244">
        <f t="shared" si="127"/>
        <v>0</v>
      </c>
      <c r="R176" s="439">
        <v>0</v>
      </c>
      <c r="S176" s="428">
        <f t="shared" si="128"/>
        <v>0</v>
      </c>
      <c r="T176" s="387">
        <v>0</v>
      </c>
      <c r="U176" s="505">
        <f t="shared" si="129"/>
        <v>0</v>
      </c>
      <c r="V176" s="243">
        <v>0</v>
      </c>
      <c r="W176" s="505">
        <f t="shared" si="130"/>
        <v>0</v>
      </c>
      <c r="X176" s="427">
        <v>0</v>
      </c>
      <c r="Y176" s="428">
        <f t="shared" si="131"/>
        <v>0</v>
      </c>
      <c r="Z176" s="428">
        <f t="shared" si="132"/>
        <v>0</v>
      </c>
      <c r="AA176" s="379">
        <v>0</v>
      </c>
      <c r="AB176" s="505">
        <f t="shared" si="133"/>
        <v>0</v>
      </c>
      <c r="AC176" s="529" t="e">
        <f t="shared" si="113"/>
        <v>#DIV/0!</v>
      </c>
      <c r="AD176" s="427">
        <v>0</v>
      </c>
      <c r="AE176" s="428">
        <f t="shared" si="134"/>
        <v>0</v>
      </c>
      <c r="AF176" s="520" t="e">
        <f t="shared" si="114"/>
        <v>#DIV/0!</v>
      </c>
    </row>
    <row r="177" spans="1:32" ht="18" hidden="1" customHeight="1" x14ac:dyDescent="0.25">
      <c r="A177" s="103">
        <v>14</v>
      </c>
      <c r="B177" s="104" t="s">
        <v>136</v>
      </c>
      <c r="C177" s="75" t="s">
        <v>263</v>
      </c>
      <c r="D177" s="53">
        <v>11460</v>
      </c>
      <c r="E177" s="54">
        <f t="shared" si="121"/>
        <v>2.1770375937766543E-3</v>
      </c>
      <c r="F177" s="165">
        <v>6000</v>
      </c>
      <c r="G177" s="164">
        <f t="shared" si="122"/>
        <v>1.1736793026936526E-3</v>
      </c>
      <c r="H177" s="125">
        <v>8000</v>
      </c>
      <c r="I177" s="54">
        <f t="shared" si="123"/>
        <v>1.4665441857847506E-3</v>
      </c>
      <c r="J177" s="165">
        <v>3000</v>
      </c>
      <c r="K177" s="164">
        <f t="shared" si="124"/>
        <v>5.3685788888509114E-4</v>
      </c>
      <c r="L177" s="329">
        <v>3100</v>
      </c>
      <c r="M177" s="211">
        <f t="shared" si="125"/>
        <v>6.0413493334247979E-4</v>
      </c>
      <c r="N177" s="255">
        <v>0</v>
      </c>
      <c r="O177" s="244">
        <f t="shared" si="126"/>
        <v>0</v>
      </c>
      <c r="P177" s="387">
        <v>0</v>
      </c>
      <c r="Q177" s="244">
        <f t="shared" si="127"/>
        <v>0</v>
      </c>
      <c r="R177" s="439">
        <v>0</v>
      </c>
      <c r="S177" s="428">
        <f t="shared" si="128"/>
        <v>0</v>
      </c>
      <c r="T177" s="387">
        <v>0</v>
      </c>
      <c r="U177" s="505">
        <f t="shared" si="129"/>
        <v>0</v>
      </c>
      <c r="V177" s="243">
        <v>0</v>
      </c>
      <c r="W177" s="505">
        <f t="shared" si="130"/>
        <v>0</v>
      </c>
      <c r="X177" s="427">
        <v>0</v>
      </c>
      <c r="Y177" s="428">
        <f t="shared" si="131"/>
        <v>0</v>
      </c>
      <c r="Z177" s="428">
        <f t="shared" si="132"/>
        <v>0</v>
      </c>
      <c r="AA177" s="379">
        <v>0</v>
      </c>
      <c r="AB177" s="505">
        <f t="shared" si="133"/>
        <v>0</v>
      </c>
      <c r="AC177" s="529" t="e">
        <f t="shared" si="113"/>
        <v>#DIV/0!</v>
      </c>
      <c r="AD177" s="427">
        <v>0</v>
      </c>
      <c r="AE177" s="428">
        <f t="shared" si="134"/>
        <v>0</v>
      </c>
      <c r="AF177" s="520" t="e">
        <f t="shared" si="114"/>
        <v>#DIV/0!</v>
      </c>
    </row>
    <row r="178" spans="1:32" ht="18" hidden="1" customHeight="1" x14ac:dyDescent="0.25">
      <c r="A178" s="101">
        <v>15</v>
      </c>
      <c r="B178" s="104" t="s">
        <v>137</v>
      </c>
      <c r="C178" s="75" t="s">
        <v>224</v>
      </c>
      <c r="D178" s="53">
        <v>13288</v>
      </c>
      <c r="E178" s="54">
        <f t="shared" si="121"/>
        <v>2.524299785872965E-3</v>
      </c>
      <c r="F178" s="165">
        <v>9356</v>
      </c>
      <c r="G178" s="164">
        <f t="shared" si="122"/>
        <v>1.8301572593336357E-3</v>
      </c>
      <c r="H178" s="125">
        <v>5780</v>
      </c>
      <c r="I178" s="54">
        <f t="shared" si="123"/>
        <v>1.0595781742294822E-3</v>
      </c>
      <c r="J178" s="165">
        <v>6848</v>
      </c>
      <c r="K178" s="164">
        <f t="shared" si="124"/>
        <v>1.2254676076950348E-3</v>
      </c>
      <c r="L178" s="329">
        <v>12556</v>
      </c>
      <c r="M178" s="211">
        <f t="shared" si="125"/>
        <v>2.4469413622736054E-3</v>
      </c>
      <c r="N178" s="255">
        <v>0</v>
      </c>
      <c r="O178" s="244">
        <f t="shared" si="126"/>
        <v>0</v>
      </c>
      <c r="P178" s="387">
        <v>0</v>
      </c>
      <c r="Q178" s="244">
        <f t="shared" si="127"/>
        <v>0</v>
      </c>
      <c r="R178" s="439">
        <v>0</v>
      </c>
      <c r="S178" s="428">
        <f t="shared" si="128"/>
        <v>0</v>
      </c>
      <c r="T178" s="387">
        <v>0</v>
      </c>
      <c r="U178" s="505">
        <f t="shared" si="129"/>
        <v>0</v>
      </c>
      <c r="V178" s="243">
        <v>0</v>
      </c>
      <c r="W178" s="505">
        <f t="shared" si="130"/>
        <v>0</v>
      </c>
      <c r="X178" s="427">
        <v>0</v>
      </c>
      <c r="Y178" s="428">
        <f t="shared" si="131"/>
        <v>0</v>
      </c>
      <c r="Z178" s="428">
        <f t="shared" si="132"/>
        <v>0</v>
      </c>
      <c r="AA178" s="379">
        <v>0</v>
      </c>
      <c r="AB178" s="505">
        <f t="shared" si="133"/>
        <v>0</v>
      </c>
      <c r="AC178" s="529" t="e">
        <f t="shared" si="113"/>
        <v>#DIV/0!</v>
      </c>
      <c r="AD178" s="427">
        <v>0</v>
      </c>
      <c r="AE178" s="428">
        <f t="shared" si="134"/>
        <v>0</v>
      </c>
      <c r="AF178" s="520" t="e">
        <f t="shared" si="114"/>
        <v>#DIV/0!</v>
      </c>
    </row>
    <row r="179" spans="1:32" ht="18" hidden="1" customHeight="1" x14ac:dyDescent="0.25">
      <c r="A179" s="103">
        <v>16</v>
      </c>
      <c r="B179" s="104" t="s">
        <v>138</v>
      </c>
      <c r="C179" s="75" t="s">
        <v>5</v>
      </c>
      <c r="D179" s="53">
        <v>14272</v>
      </c>
      <c r="E179" s="54">
        <f t="shared" si="121"/>
        <v>2.7112286682705418E-3</v>
      </c>
      <c r="F179" s="165">
        <v>14974</v>
      </c>
      <c r="G179" s="164">
        <f t="shared" si="122"/>
        <v>2.929112313089126E-3</v>
      </c>
      <c r="H179" s="125">
        <v>14891</v>
      </c>
      <c r="I179" s="54">
        <f t="shared" si="123"/>
        <v>2.72978868381509E-3</v>
      </c>
      <c r="J179" s="165">
        <v>15362</v>
      </c>
      <c r="K179" s="164">
        <f t="shared" si="124"/>
        <v>2.7490702963509231E-3</v>
      </c>
      <c r="L179" s="329">
        <v>16694</v>
      </c>
      <c r="M179" s="211">
        <f t="shared" si="125"/>
        <v>3.2533640571675349E-3</v>
      </c>
      <c r="N179" s="255">
        <v>0</v>
      </c>
      <c r="O179" s="244">
        <f t="shared" si="126"/>
        <v>0</v>
      </c>
      <c r="P179" s="387">
        <v>0</v>
      </c>
      <c r="Q179" s="244">
        <f t="shared" si="127"/>
        <v>0</v>
      </c>
      <c r="R179" s="439">
        <v>0</v>
      </c>
      <c r="S179" s="428">
        <f t="shared" si="128"/>
        <v>0</v>
      </c>
      <c r="T179" s="387">
        <v>0</v>
      </c>
      <c r="U179" s="505">
        <f t="shared" si="129"/>
        <v>0</v>
      </c>
      <c r="V179" s="243">
        <v>0</v>
      </c>
      <c r="W179" s="505">
        <f t="shared" si="130"/>
        <v>0</v>
      </c>
      <c r="X179" s="427">
        <v>0</v>
      </c>
      <c r="Y179" s="428">
        <f t="shared" si="131"/>
        <v>0</v>
      </c>
      <c r="Z179" s="428">
        <f t="shared" si="132"/>
        <v>0</v>
      </c>
      <c r="AA179" s="379">
        <v>0</v>
      </c>
      <c r="AB179" s="505">
        <f t="shared" si="133"/>
        <v>0</v>
      </c>
      <c r="AC179" s="529" t="e">
        <f t="shared" si="113"/>
        <v>#DIV/0!</v>
      </c>
      <c r="AD179" s="427">
        <v>0</v>
      </c>
      <c r="AE179" s="428">
        <f t="shared" si="134"/>
        <v>0</v>
      </c>
      <c r="AF179" s="520" t="e">
        <f t="shared" si="114"/>
        <v>#DIV/0!</v>
      </c>
    </row>
    <row r="180" spans="1:32" ht="18" hidden="1" customHeight="1" x14ac:dyDescent="0.25">
      <c r="A180" s="101">
        <v>17</v>
      </c>
      <c r="B180" s="104" t="s">
        <v>139</v>
      </c>
      <c r="C180" s="76" t="s">
        <v>225</v>
      </c>
      <c r="D180" s="55">
        <v>13535</v>
      </c>
      <c r="E180" s="56">
        <f t="shared" si="121"/>
        <v>2.5712219748487797E-3</v>
      </c>
      <c r="F180" s="166">
        <v>16919</v>
      </c>
      <c r="G180" s="167">
        <f t="shared" si="122"/>
        <v>3.3095800203789849E-3</v>
      </c>
      <c r="H180" s="126">
        <v>17595</v>
      </c>
      <c r="I180" s="56">
        <f t="shared" si="123"/>
        <v>3.2254806186103359E-3</v>
      </c>
      <c r="J180" s="166">
        <v>20088</v>
      </c>
      <c r="K180" s="167">
        <f t="shared" si="124"/>
        <v>3.5948004239745703E-3</v>
      </c>
      <c r="L180" s="331">
        <v>20586</v>
      </c>
      <c r="M180" s="212">
        <f t="shared" si="125"/>
        <v>4.0118457218671901E-3</v>
      </c>
      <c r="N180" s="255">
        <v>0</v>
      </c>
      <c r="O180" s="247">
        <f t="shared" si="126"/>
        <v>0</v>
      </c>
      <c r="P180" s="387">
        <v>0</v>
      </c>
      <c r="Q180" s="247">
        <f t="shared" si="127"/>
        <v>0</v>
      </c>
      <c r="R180" s="439">
        <v>0</v>
      </c>
      <c r="S180" s="431">
        <f t="shared" si="128"/>
        <v>0</v>
      </c>
      <c r="T180" s="387">
        <v>0</v>
      </c>
      <c r="U180" s="506">
        <f t="shared" si="129"/>
        <v>0</v>
      </c>
      <c r="V180" s="246">
        <v>0</v>
      </c>
      <c r="W180" s="506">
        <f t="shared" si="130"/>
        <v>0</v>
      </c>
      <c r="X180" s="430">
        <v>0</v>
      </c>
      <c r="Y180" s="431">
        <f t="shared" si="131"/>
        <v>0</v>
      </c>
      <c r="Z180" s="431">
        <f t="shared" si="132"/>
        <v>0</v>
      </c>
      <c r="AA180" s="381">
        <v>0</v>
      </c>
      <c r="AB180" s="506">
        <f t="shared" si="133"/>
        <v>0</v>
      </c>
      <c r="AC180" s="529" t="e">
        <f t="shared" si="113"/>
        <v>#DIV/0!</v>
      </c>
      <c r="AD180" s="430">
        <v>0</v>
      </c>
      <c r="AE180" s="431">
        <f t="shared" si="134"/>
        <v>0</v>
      </c>
      <c r="AF180" s="520" t="e">
        <f t="shared" si="114"/>
        <v>#DIV/0!</v>
      </c>
    </row>
    <row r="181" spans="1:32" ht="18" hidden="1" customHeight="1" thickBot="1" x14ac:dyDescent="0.3">
      <c r="A181" s="97"/>
      <c r="B181" s="98"/>
      <c r="C181" s="82" t="s">
        <v>226</v>
      </c>
      <c r="D181" s="37">
        <f>SUM(D164:D180)</f>
        <v>345959.81</v>
      </c>
      <c r="E181" s="38">
        <f t="shared" si="121"/>
        <v>6.5721423412375954E-2</v>
      </c>
      <c r="F181" s="179">
        <f>SUM(F164:F180)</f>
        <v>343849</v>
      </c>
      <c r="G181" s="180">
        <f t="shared" si="122"/>
        <v>6.7261409091984969E-2</v>
      </c>
      <c r="H181" s="133">
        <f>SUM(H164:H180)</f>
        <v>354385</v>
      </c>
      <c r="I181" s="38">
        <f t="shared" si="123"/>
        <v>6.4965157659916103E-2</v>
      </c>
      <c r="J181" s="179">
        <f>SUM(J164:J180)</f>
        <v>376147</v>
      </c>
      <c r="K181" s="180">
        <f t="shared" si="124"/>
        <v>6.7312494776820123E-2</v>
      </c>
      <c r="L181" s="339">
        <f>SUM(L164:L180)</f>
        <v>399851</v>
      </c>
      <c r="M181" s="219">
        <f t="shared" si="125"/>
        <v>7.7923857171588354E-2</v>
      </c>
      <c r="N181" s="263">
        <f>SUM(N164:N180)</f>
        <v>0</v>
      </c>
      <c r="O181" s="264">
        <f t="shared" si="126"/>
        <v>0</v>
      </c>
      <c r="P181" s="395">
        <f>SUM(P164:P180)</f>
        <v>0</v>
      </c>
      <c r="Q181" s="264">
        <f t="shared" si="127"/>
        <v>0</v>
      </c>
      <c r="R181" s="447">
        <f>SUM(R164:R180)</f>
        <v>0</v>
      </c>
      <c r="S181" s="448">
        <f t="shared" si="128"/>
        <v>0</v>
      </c>
      <c r="T181" s="395">
        <f>SUM(T164:T180)</f>
        <v>0</v>
      </c>
      <c r="U181" s="514">
        <f t="shared" si="129"/>
        <v>0</v>
      </c>
      <c r="V181" s="263">
        <f>SUM(V164:V180)</f>
        <v>0</v>
      </c>
      <c r="W181" s="514">
        <f t="shared" si="130"/>
        <v>0</v>
      </c>
      <c r="X181" s="447">
        <f>SUM(X164:X180)</f>
        <v>0</v>
      </c>
      <c r="Y181" s="448">
        <f t="shared" si="131"/>
        <v>0</v>
      </c>
      <c r="Z181" s="448">
        <f t="shared" si="132"/>
        <v>0</v>
      </c>
      <c r="AA181" s="395">
        <f>SUM(AA164:AA180)</f>
        <v>0</v>
      </c>
      <c r="AB181" s="514">
        <f t="shared" si="133"/>
        <v>0</v>
      </c>
      <c r="AC181" s="529" t="e">
        <f t="shared" si="113"/>
        <v>#DIV/0!</v>
      </c>
      <c r="AD181" s="447">
        <f>SUM(AD164:AD180)</f>
        <v>0</v>
      </c>
      <c r="AE181" s="448">
        <f t="shared" si="134"/>
        <v>0</v>
      </c>
      <c r="AF181" s="520" t="e">
        <f t="shared" si="114"/>
        <v>#DIV/0!</v>
      </c>
    </row>
    <row r="182" spans="1:32" ht="18" hidden="1" customHeight="1" thickTop="1" x14ac:dyDescent="0.25">
      <c r="A182" s="97"/>
      <c r="B182" s="98"/>
      <c r="C182" s="78"/>
      <c r="D182" s="33"/>
      <c r="E182" s="29"/>
      <c r="F182" s="183"/>
      <c r="G182" s="160"/>
      <c r="H182" s="136"/>
      <c r="I182" s="29"/>
      <c r="J182" s="183"/>
      <c r="K182" s="160"/>
      <c r="L182" s="341"/>
      <c r="M182" s="209"/>
      <c r="N182" s="267"/>
      <c r="O182" s="242"/>
      <c r="P182" s="397"/>
      <c r="Q182" s="242"/>
      <c r="R182" s="451"/>
      <c r="S182" s="426"/>
      <c r="T182" s="397"/>
      <c r="U182" s="504"/>
      <c r="V182" s="267"/>
      <c r="W182" s="504"/>
      <c r="X182" s="451"/>
      <c r="Y182" s="426"/>
      <c r="Z182" s="426"/>
      <c r="AA182" s="397"/>
      <c r="AB182" s="504"/>
      <c r="AC182" s="530" t="e">
        <f t="shared" si="113"/>
        <v>#DIV/0!</v>
      </c>
      <c r="AD182" s="451"/>
      <c r="AE182" s="426"/>
      <c r="AF182" s="523" t="e">
        <f t="shared" si="114"/>
        <v>#DIV/0!</v>
      </c>
    </row>
    <row r="183" spans="1:32" ht="18" hidden="1" customHeight="1" x14ac:dyDescent="0.25">
      <c r="A183" s="97"/>
      <c r="B183" s="98"/>
      <c r="C183" s="73" t="s">
        <v>354</v>
      </c>
      <c r="D183" s="28"/>
      <c r="E183" s="29"/>
      <c r="F183" s="159"/>
      <c r="G183" s="160"/>
      <c r="H183" s="122"/>
      <c r="I183" s="29"/>
      <c r="J183" s="159"/>
      <c r="K183" s="160"/>
      <c r="L183" s="328"/>
      <c r="M183" s="209"/>
      <c r="N183" s="241"/>
      <c r="O183" s="242"/>
      <c r="P183" s="378"/>
      <c r="Q183" s="242"/>
      <c r="R183" s="425"/>
      <c r="S183" s="426"/>
      <c r="T183" s="378"/>
      <c r="U183" s="504"/>
      <c r="V183" s="241"/>
      <c r="W183" s="504"/>
      <c r="X183" s="425"/>
      <c r="Y183" s="426"/>
      <c r="Z183" s="426"/>
      <c r="AA183" s="378"/>
      <c r="AB183" s="504"/>
      <c r="AC183" s="532"/>
      <c r="AD183" s="425"/>
      <c r="AE183" s="426"/>
      <c r="AF183" s="528"/>
    </row>
    <row r="184" spans="1:32" ht="18" hidden="1" customHeight="1" x14ac:dyDescent="0.25">
      <c r="A184" s="97"/>
      <c r="B184" s="98"/>
      <c r="C184" s="76"/>
      <c r="D184" s="285">
        <v>4</v>
      </c>
      <c r="E184" s="56"/>
      <c r="F184" s="286">
        <v>4</v>
      </c>
      <c r="G184" s="167"/>
      <c r="H184" s="287">
        <v>4</v>
      </c>
      <c r="I184" s="56"/>
      <c r="J184" s="286">
        <v>4</v>
      </c>
      <c r="K184" s="167"/>
      <c r="L184" s="342">
        <v>4</v>
      </c>
      <c r="M184" s="212"/>
      <c r="N184" s="288"/>
      <c r="O184" s="247"/>
      <c r="P184" s="398"/>
      <c r="Q184" s="247"/>
      <c r="R184" s="452"/>
      <c r="S184" s="431"/>
      <c r="T184" s="398"/>
      <c r="U184" s="506"/>
      <c r="V184" s="288"/>
      <c r="W184" s="506"/>
      <c r="X184" s="452"/>
      <c r="Y184" s="431"/>
      <c r="Z184" s="431"/>
      <c r="AA184" s="398"/>
      <c r="AB184" s="506"/>
      <c r="AC184" s="529" t="e">
        <f t="shared" si="113"/>
        <v>#DIV/0!</v>
      </c>
      <c r="AD184" s="452"/>
      <c r="AE184" s="431"/>
      <c r="AF184" s="520" t="e">
        <f t="shared" si="114"/>
        <v>#DIV/0!</v>
      </c>
    </row>
    <row r="185" spans="1:32" ht="18" hidden="1" customHeight="1" x14ac:dyDescent="0.25">
      <c r="A185" s="103">
        <v>1</v>
      </c>
      <c r="B185" s="104" t="s">
        <v>140</v>
      </c>
      <c r="C185" s="75" t="s">
        <v>367</v>
      </c>
      <c r="D185" s="53">
        <v>130475</v>
      </c>
      <c r="E185" s="54">
        <f t="shared" ref="E185:E196" si="135">D185/D$12</f>
        <v>2.4786123913438828E-2</v>
      </c>
      <c r="F185" s="165">
        <v>138169</v>
      </c>
      <c r="G185" s="164">
        <f t="shared" ref="G185:G196" si="136">F185/F$12</f>
        <v>2.702768259564655E-2</v>
      </c>
      <c r="H185" s="125">
        <v>144985</v>
      </c>
      <c r="I185" s="54">
        <f t="shared" ref="I185:I200" si="137">H185/H$12</f>
        <v>2.6578363597000255E-2</v>
      </c>
      <c r="J185" s="165">
        <v>152026</v>
      </c>
      <c r="K185" s="164">
        <f t="shared" ref="K185:K200" si="138">J185/J$12</f>
        <v>2.7205452471881622E-2</v>
      </c>
      <c r="L185" s="329">
        <v>157207</v>
      </c>
      <c r="M185" s="211">
        <f t="shared" ref="M185:M200" si="139">L185/L$12</f>
        <v>3.0636851763216524E-2</v>
      </c>
      <c r="N185" s="243">
        <v>497129</v>
      </c>
      <c r="O185" s="244">
        <f t="shared" ref="O185:O201" si="140">N185/N$12</f>
        <v>9.3984990124684017E-2</v>
      </c>
      <c r="P185" s="379">
        <v>482327</v>
      </c>
      <c r="Q185" s="244">
        <f t="shared" ref="Q185:Q201" si="141">P185/P$12</f>
        <v>9.9219413414256843E-2</v>
      </c>
      <c r="R185" s="427">
        <v>489924</v>
      </c>
      <c r="S185" s="428">
        <f t="shared" ref="S185:S201" si="142">R185/R$12</f>
        <v>9.0933304180666849E-2</v>
      </c>
      <c r="T185" s="568">
        <v>451546</v>
      </c>
      <c r="U185" s="505">
        <f t="shared" ref="U185" si="143">T185/T$12</f>
        <v>0.1001700165668544</v>
      </c>
      <c r="V185" s="243">
        <v>530000</v>
      </c>
      <c r="W185" s="505">
        <f t="shared" ref="W185:W201" si="144">V185/V$12</f>
        <v>0.1</v>
      </c>
      <c r="X185" s="427">
        <f>X12*0.1</f>
        <v>530000</v>
      </c>
      <c r="Y185" s="428">
        <f t="shared" ref="Y185:Y201" si="145">X185/X$12</f>
        <v>0.1</v>
      </c>
      <c r="Z185" s="520">
        <f t="shared" ref="Z185:Z187" si="146">ROUND((X185-V185)/V185,4)</f>
        <v>0</v>
      </c>
      <c r="AA185" s="379">
        <f>AA12*0.1</f>
        <v>550000</v>
      </c>
      <c r="AB185" s="505">
        <f t="shared" ref="AB185:AB201" si="147">AA185/AA$12</f>
        <v>0.1</v>
      </c>
      <c r="AC185" s="529">
        <f t="shared" si="113"/>
        <v>3.7699999999999997E-2</v>
      </c>
      <c r="AD185" s="427">
        <f>AD12*0.1</f>
        <v>580000</v>
      </c>
      <c r="AE185" s="428">
        <f t="shared" ref="AE185:AE201" si="148">AD185/AD$12</f>
        <v>0.1</v>
      </c>
      <c r="AF185" s="520">
        <f t="shared" si="114"/>
        <v>5.45E-2</v>
      </c>
    </row>
    <row r="186" spans="1:32" ht="18" hidden="1" customHeight="1" x14ac:dyDescent="0.25">
      <c r="A186" s="101">
        <v>2</v>
      </c>
      <c r="B186" s="102"/>
      <c r="C186" s="74" t="s">
        <v>368</v>
      </c>
      <c r="D186" s="51"/>
      <c r="E186" s="52"/>
      <c r="F186" s="161"/>
      <c r="G186" s="162"/>
      <c r="H186" s="123"/>
      <c r="I186" s="52"/>
      <c r="J186" s="161"/>
      <c r="K186" s="162"/>
      <c r="L186" s="336"/>
      <c r="M186" s="210"/>
      <c r="N186" s="255">
        <v>4626</v>
      </c>
      <c r="O186" s="244">
        <f t="shared" si="140"/>
        <v>8.7457091482651031E-4</v>
      </c>
      <c r="P186" s="387">
        <v>2994</v>
      </c>
      <c r="Q186" s="256">
        <f t="shared" si="141"/>
        <v>6.1589528216808305E-4</v>
      </c>
      <c r="R186" s="439">
        <v>4326</v>
      </c>
      <c r="S186" s="440">
        <f>R186/R$12</f>
        <v>8.0293570816201032E-4</v>
      </c>
      <c r="T186" s="569">
        <v>3814</v>
      </c>
      <c r="U186" s="510">
        <f>T186/T$12</f>
        <v>8.4608975206508898E-4</v>
      </c>
      <c r="V186" s="255">
        <v>3600</v>
      </c>
      <c r="W186" s="505">
        <f t="shared" si="144"/>
        <v>6.7924528301886798E-4</v>
      </c>
      <c r="X186" s="439">
        <v>4500</v>
      </c>
      <c r="Y186" s="428">
        <f t="shared" si="145"/>
        <v>8.4905660377358489E-4</v>
      </c>
      <c r="Z186" s="520">
        <f t="shared" si="146"/>
        <v>0.25</v>
      </c>
      <c r="AA186" s="573">
        <f t="shared" ref="AA186:AA187" si="149">ROUND(X186*$AH$1,-1)</f>
        <v>4610</v>
      </c>
      <c r="AB186" s="505">
        <f t="shared" si="147"/>
        <v>8.3818181818181821E-4</v>
      </c>
      <c r="AC186" s="529">
        <f t="shared" si="113"/>
        <v>2.4400000000000002E-2</v>
      </c>
      <c r="AD186" s="427">
        <f t="shared" ref="AD186:AD187" si="150">ROUND(AA186*$AH$1,-1)</f>
        <v>4730</v>
      </c>
      <c r="AE186" s="428">
        <f t="shared" si="148"/>
        <v>8.155172413793104E-4</v>
      </c>
      <c r="AF186" s="520">
        <f t="shared" si="114"/>
        <v>2.5999999999999999E-2</v>
      </c>
    </row>
    <row r="187" spans="1:32" ht="18" hidden="1" customHeight="1" x14ac:dyDescent="0.25">
      <c r="A187" s="101">
        <v>3</v>
      </c>
      <c r="B187" s="102"/>
      <c r="C187" s="74" t="s">
        <v>222</v>
      </c>
      <c r="D187" s="51"/>
      <c r="E187" s="52"/>
      <c r="F187" s="161"/>
      <c r="G187" s="162"/>
      <c r="H187" s="123"/>
      <c r="I187" s="52"/>
      <c r="J187" s="161"/>
      <c r="K187" s="162"/>
      <c r="L187" s="336"/>
      <c r="M187" s="210"/>
      <c r="N187" s="255">
        <v>4210</v>
      </c>
      <c r="O187" s="244">
        <f t="shared" si="140"/>
        <v>7.9592381137475322E-4</v>
      </c>
      <c r="P187" s="387">
        <v>2844</v>
      </c>
      <c r="Q187" s="256">
        <f t="shared" si="141"/>
        <v>5.850388051055538E-4</v>
      </c>
      <c r="R187" s="439">
        <v>2276</v>
      </c>
      <c r="S187" s="440">
        <f>R187/R$12</f>
        <v>4.2244144054016079E-4</v>
      </c>
      <c r="T187" s="569">
        <v>972</v>
      </c>
      <c r="U187" s="510">
        <f>T187/T$12</f>
        <v>2.1562643917337875E-4</v>
      </c>
      <c r="V187" s="255">
        <v>3000</v>
      </c>
      <c r="W187" s="505">
        <f t="shared" si="144"/>
        <v>5.6603773584905663E-4</v>
      </c>
      <c r="X187" s="439">
        <v>3000</v>
      </c>
      <c r="Y187" s="428">
        <f t="shared" si="145"/>
        <v>5.6603773584905663E-4</v>
      </c>
      <c r="Z187" s="522">
        <f t="shared" si="146"/>
        <v>0</v>
      </c>
      <c r="AA187" s="573">
        <f t="shared" si="149"/>
        <v>3080</v>
      </c>
      <c r="AB187" s="505">
        <f t="shared" si="147"/>
        <v>5.5999999999999995E-4</v>
      </c>
      <c r="AC187" s="529">
        <f t="shared" si="113"/>
        <v>2.6700000000000002E-2</v>
      </c>
      <c r="AD187" s="427">
        <f t="shared" si="150"/>
        <v>3160</v>
      </c>
      <c r="AE187" s="428">
        <f t="shared" si="148"/>
        <v>5.4482758620689651E-4</v>
      </c>
      <c r="AF187" s="520">
        <f t="shared" si="114"/>
        <v>2.5999999999999999E-2</v>
      </c>
    </row>
    <row r="188" spans="1:32" ht="18" hidden="1" customHeight="1" x14ac:dyDescent="0.25">
      <c r="A188" s="101">
        <v>1</v>
      </c>
      <c r="B188" s="102" t="s">
        <v>140</v>
      </c>
      <c r="C188" s="74" t="s">
        <v>215</v>
      </c>
      <c r="D188" s="51">
        <v>130475</v>
      </c>
      <c r="E188" s="52">
        <f t="shared" si="135"/>
        <v>2.4786123913438828E-2</v>
      </c>
      <c r="F188" s="161">
        <v>138169</v>
      </c>
      <c r="G188" s="162">
        <f t="shared" si="136"/>
        <v>2.702768259564655E-2</v>
      </c>
      <c r="H188" s="123">
        <v>144985</v>
      </c>
      <c r="I188" s="52">
        <f t="shared" si="137"/>
        <v>2.6578363597000255E-2</v>
      </c>
      <c r="J188" s="161">
        <v>152026</v>
      </c>
      <c r="K188" s="162">
        <f t="shared" si="138"/>
        <v>2.7205452471881622E-2</v>
      </c>
      <c r="L188" s="336">
        <v>157207</v>
      </c>
      <c r="M188" s="210">
        <f t="shared" si="139"/>
        <v>3.0636851763216524E-2</v>
      </c>
      <c r="N188" s="255"/>
      <c r="O188" s="256">
        <f t="shared" si="140"/>
        <v>0</v>
      </c>
      <c r="P188" s="387"/>
      <c r="Q188" s="256">
        <f t="shared" si="141"/>
        <v>0</v>
      </c>
      <c r="R188" s="439"/>
      <c r="S188" s="440">
        <f t="shared" si="142"/>
        <v>0</v>
      </c>
      <c r="T188" s="387"/>
      <c r="U188" s="510">
        <f t="shared" ref="U188:U201" si="151">T188/T$12</f>
        <v>0</v>
      </c>
      <c r="V188" s="255">
        <v>0</v>
      </c>
      <c r="W188" s="510">
        <f t="shared" si="144"/>
        <v>0</v>
      </c>
      <c r="X188" s="439">
        <v>0</v>
      </c>
      <c r="Y188" s="440">
        <f t="shared" si="145"/>
        <v>0</v>
      </c>
      <c r="Z188" s="440">
        <f t="shared" ref="Z188:Z200" si="152">X188/X$12</f>
        <v>0</v>
      </c>
      <c r="AA188" s="387">
        <v>0</v>
      </c>
      <c r="AB188" s="510">
        <f t="shared" si="147"/>
        <v>0</v>
      </c>
      <c r="AC188" s="529" t="e">
        <f t="shared" si="113"/>
        <v>#DIV/0!</v>
      </c>
      <c r="AD188" s="439">
        <v>0</v>
      </c>
      <c r="AE188" s="440">
        <f t="shared" si="148"/>
        <v>0</v>
      </c>
      <c r="AF188" s="520" t="e">
        <f t="shared" si="114"/>
        <v>#DIV/0!</v>
      </c>
    </row>
    <row r="189" spans="1:32" ht="18" hidden="1" customHeight="1" x14ac:dyDescent="0.25">
      <c r="A189" s="103">
        <v>2</v>
      </c>
      <c r="B189" s="104" t="s">
        <v>141</v>
      </c>
      <c r="C189" s="75" t="s">
        <v>217</v>
      </c>
      <c r="D189" s="53">
        <v>3879</v>
      </c>
      <c r="E189" s="54">
        <f t="shared" si="135"/>
        <v>7.3688733213434919E-4</v>
      </c>
      <c r="F189" s="165">
        <v>3447</v>
      </c>
      <c r="G189" s="164">
        <f t="shared" si="136"/>
        <v>6.7427875939750348E-4</v>
      </c>
      <c r="H189" s="125">
        <v>3097</v>
      </c>
      <c r="I189" s="54">
        <f t="shared" si="137"/>
        <v>5.6773591792192151E-4</v>
      </c>
      <c r="J189" s="165">
        <f>3054+135</f>
        <v>3189</v>
      </c>
      <c r="K189" s="164">
        <f t="shared" si="138"/>
        <v>5.7067993588485186E-4</v>
      </c>
      <c r="L189" s="329">
        <v>2727</v>
      </c>
      <c r="M189" s="211">
        <f t="shared" si="139"/>
        <v>5.3144385910482009E-4</v>
      </c>
      <c r="N189" s="243"/>
      <c r="O189" s="244">
        <f t="shared" si="140"/>
        <v>0</v>
      </c>
      <c r="P189" s="379"/>
      <c r="Q189" s="244">
        <f t="shared" si="141"/>
        <v>0</v>
      </c>
      <c r="R189" s="427"/>
      <c r="S189" s="428">
        <f t="shared" si="142"/>
        <v>0</v>
      </c>
      <c r="T189" s="379"/>
      <c r="U189" s="505">
        <f t="shared" si="151"/>
        <v>0</v>
      </c>
      <c r="V189" s="243">
        <v>0</v>
      </c>
      <c r="W189" s="505">
        <f t="shared" si="144"/>
        <v>0</v>
      </c>
      <c r="X189" s="427">
        <v>0</v>
      </c>
      <c r="Y189" s="428">
        <f t="shared" si="145"/>
        <v>0</v>
      </c>
      <c r="Z189" s="428">
        <f t="shared" si="152"/>
        <v>0</v>
      </c>
      <c r="AA189" s="379">
        <v>0</v>
      </c>
      <c r="AB189" s="505">
        <f t="shared" si="147"/>
        <v>0</v>
      </c>
      <c r="AC189" s="529" t="e">
        <f t="shared" si="113"/>
        <v>#DIV/0!</v>
      </c>
      <c r="AD189" s="427">
        <v>0</v>
      </c>
      <c r="AE189" s="428">
        <f t="shared" si="148"/>
        <v>0</v>
      </c>
      <c r="AF189" s="520" t="e">
        <f t="shared" si="114"/>
        <v>#DIV/0!</v>
      </c>
    </row>
    <row r="190" spans="1:32" ht="18" hidden="1" customHeight="1" x14ac:dyDescent="0.25">
      <c r="A190" s="101">
        <v>3</v>
      </c>
      <c r="B190" s="104" t="s">
        <v>142</v>
      </c>
      <c r="C190" s="75" t="s">
        <v>264</v>
      </c>
      <c r="D190" s="53">
        <v>3304</v>
      </c>
      <c r="E190" s="54">
        <f t="shared" si="135"/>
        <v>6.2765551569267592E-4</v>
      </c>
      <c r="F190" s="165">
        <v>1865</v>
      </c>
      <c r="G190" s="164">
        <f t="shared" si="136"/>
        <v>3.6481864992061037E-4</v>
      </c>
      <c r="H190" s="125">
        <v>1606</v>
      </c>
      <c r="I190" s="54">
        <f t="shared" si="137"/>
        <v>2.9440874529628868E-4</v>
      </c>
      <c r="J190" s="165">
        <v>1960</v>
      </c>
      <c r="K190" s="164">
        <f t="shared" si="138"/>
        <v>3.5074715407159288E-4</v>
      </c>
      <c r="L190" s="329">
        <v>0</v>
      </c>
      <c r="M190" s="211">
        <f t="shared" si="139"/>
        <v>0</v>
      </c>
      <c r="N190" s="243"/>
      <c r="O190" s="244">
        <f t="shared" si="140"/>
        <v>0</v>
      </c>
      <c r="P190" s="379"/>
      <c r="Q190" s="244">
        <f t="shared" si="141"/>
        <v>0</v>
      </c>
      <c r="R190" s="427"/>
      <c r="S190" s="428">
        <f t="shared" si="142"/>
        <v>0</v>
      </c>
      <c r="T190" s="379"/>
      <c r="U190" s="505">
        <f t="shared" si="151"/>
        <v>0</v>
      </c>
      <c r="V190" s="243">
        <v>0</v>
      </c>
      <c r="W190" s="505">
        <f t="shared" si="144"/>
        <v>0</v>
      </c>
      <c r="X190" s="427">
        <v>0</v>
      </c>
      <c r="Y190" s="428">
        <f t="shared" si="145"/>
        <v>0</v>
      </c>
      <c r="Z190" s="428">
        <f t="shared" si="152"/>
        <v>0</v>
      </c>
      <c r="AA190" s="379">
        <v>0</v>
      </c>
      <c r="AB190" s="505">
        <f t="shared" si="147"/>
        <v>0</v>
      </c>
      <c r="AC190" s="529" t="e">
        <f t="shared" si="113"/>
        <v>#DIV/0!</v>
      </c>
      <c r="AD190" s="427">
        <v>0</v>
      </c>
      <c r="AE190" s="428">
        <f t="shared" si="148"/>
        <v>0</v>
      </c>
      <c r="AF190" s="520" t="e">
        <f t="shared" si="114"/>
        <v>#DIV/0!</v>
      </c>
    </row>
    <row r="191" spans="1:32" ht="18" hidden="1" customHeight="1" x14ac:dyDescent="0.25">
      <c r="A191" s="103">
        <v>4</v>
      </c>
      <c r="B191" s="104" t="s">
        <v>143</v>
      </c>
      <c r="C191" s="75" t="s">
        <v>328</v>
      </c>
      <c r="D191" s="53">
        <v>2157</v>
      </c>
      <c r="E191" s="54">
        <f t="shared" si="135"/>
        <v>4.0976178793859016E-4</v>
      </c>
      <c r="F191" s="165">
        <v>21998</v>
      </c>
      <c r="G191" s="164">
        <f t="shared" si="136"/>
        <v>4.3030995501091617E-3</v>
      </c>
      <c r="H191" s="125">
        <v>6632</v>
      </c>
      <c r="I191" s="54">
        <f t="shared" si="137"/>
        <v>1.2157651300155582E-3</v>
      </c>
      <c r="J191" s="165">
        <v>7424</v>
      </c>
      <c r="K191" s="164">
        <f t="shared" si="138"/>
        <v>1.3285443223609722E-3</v>
      </c>
      <c r="L191" s="329">
        <v>6079</v>
      </c>
      <c r="M191" s="211">
        <f t="shared" si="139"/>
        <v>1.1846891160609467E-3</v>
      </c>
      <c r="N191" s="243"/>
      <c r="O191" s="244">
        <f t="shared" si="140"/>
        <v>0</v>
      </c>
      <c r="P191" s="379"/>
      <c r="Q191" s="244">
        <f t="shared" si="141"/>
        <v>0</v>
      </c>
      <c r="R191" s="427"/>
      <c r="S191" s="428">
        <f t="shared" si="142"/>
        <v>0</v>
      </c>
      <c r="T191" s="379"/>
      <c r="U191" s="505">
        <f t="shared" si="151"/>
        <v>0</v>
      </c>
      <c r="V191" s="243">
        <v>0</v>
      </c>
      <c r="W191" s="505">
        <f t="shared" si="144"/>
        <v>0</v>
      </c>
      <c r="X191" s="427">
        <v>0</v>
      </c>
      <c r="Y191" s="428">
        <f t="shared" si="145"/>
        <v>0</v>
      </c>
      <c r="Z191" s="428">
        <f t="shared" si="152"/>
        <v>0</v>
      </c>
      <c r="AA191" s="379">
        <v>0</v>
      </c>
      <c r="AB191" s="505">
        <f t="shared" si="147"/>
        <v>0</v>
      </c>
      <c r="AC191" s="529" t="e">
        <f t="shared" si="113"/>
        <v>#DIV/0!</v>
      </c>
      <c r="AD191" s="427">
        <v>0</v>
      </c>
      <c r="AE191" s="428">
        <f t="shared" si="148"/>
        <v>0</v>
      </c>
      <c r="AF191" s="520" t="e">
        <f t="shared" si="114"/>
        <v>#DIV/0!</v>
      </c>
    </row>
    <row r="192" spans="1:32" ht="18" hidden="1" customHeight="1" x14ac:dyDescent="0.25">
      <c r="A192" s="101">
        <v>5</v>
      </c>
      <c r="B192" s="104" t="s">
        <v>144</v>
      </c>
      <c r="C192" s="75" t="s">
        <v>286</v>
      </c>
      <c r="D192" s="53">
        <v>11433</v>
      </c>
      <c r="E192" s="54">
        <f t="shared" si="135"/>
        <v>2.171908447613306E-3</v>
      </c>
      <c r="F192" s="165">
        <v>1976</v>
      </c>
      <c r="G192" s="164">
        <f t="shared" si="136"/>
        <v>3.8653171702044293E-4</v>
      </c>
      <c r="H192" s="125">
        <v>4117</v>
      </c>
      <c r="I192" s="54">
        <f t="shared" si="137"/>
        <v>7.5472030160947726E-4</v>
      </c>
      <c r="J192" s="165">
        <v>10308</v>
      </c>
      <c r="K192" s="164">
        <f t="shared" si="138"/>
        <v>1.8446437062091731E-3</v>
      </c>
      <c r="L192" s="329">
        <v>7055</v>
      </c>
      <c r="M192" s="211">
        <f t="shared" si="139"/>
        <v>1.3748941789455467E-3</v>
      </c>
      <c r="N192" s="243"/>
      <c r="O192" s="244">
        <f t="shared" si="140"/>
        <v>0</v>
      </c>
      <c r="P192" s="379"/>
      <c r="Q192" s="244">
        <f t="shared" si="141"/>
        <v>0</v>
      </c>
      <c r="R192" s="427"/>
      <c r="S192" s="428">
        <f t="shared" si="142"/>
        <v>0</v>
      </c>
      <c r="T192" s="379"/>
      <c r="U192" s="505">
        <f t="shared" si="151"/>
        <v>0</v>
      </c>
      <c r="V192" s="243">
        <v>0</v>
      </c>
      <c r="W192" s="505">
        <f t="shared" si="144"/>
        <v>0</v>
      </c>
      <c r="X192" s="427">
        <v>0</v>
      </c>
      <c r="Y192" s="428">
        <f t="shared" si="145"/>
        <v>0</v>
      </c>
      <c r="Z192" s="428">
        <f t="shared" si="152"/>
        <v>0</v>
      </c>
      <c r="AA192" s="379">
        <v>0</v>
      </c>
      <c r="AB192" s="505">
        <f t="shared" si="147"/>
        <v>0</v>
      </c>
      <c r="AC192" s="529" t="e">
        <f t="shared" si="113"/>
        <v>#DIV/0!</v>
      </c>
      <c r="AD192" s="427">
        <v>0</v>
      </c>
      <c r="AE192" s="428">
        <f t="shared" si="148"/>
        <v>0</v>
      </c>
      <c r="AF192" s="520" t="e">
        <f t="shared" si="114"/>
        <v>#DIV/0!</v>
      </c>
    </row>
    <row r="193" spans="1:32" ht="18" hidden="1" customHeight="1" x14ac:dyDescent="0.25">
      <c r="A193" s="103">
        <v>6</v>
      </c>
      <c r="B193" s="104" t="s">
        <v>145</v>
      </c>
      <c r="C193" s="75" t="s">
        <v>31</v>
      </c>
      <c r="D193" s="53">
        <v>10000</v>
      </c>
      <c r="E193" s="54">
        <f t="shared" si="135"/>
        <v>1.8996837642030141E-3</v>
      </c>
      <c r="F193" s="165">
        <v>10000</v>
      </c>
      <c r="G193" s="164">
        <f t="shared" si="136"/>
        <v>1.9561321711560877E-3</v>
      </c>
      <c r="H193" s="125">
        <v>10055</v>
      </c>
      <c r="I193" s="54">
        <f t="shared" si="137"/>
        <v>1.8432627235082082E-3</v>
      </c>
      <c r="J193" s="165">
        <v>4650</v>
      </c>
      <c r="K193" s="164">
        <f t="shared" si="138"/>
        <v>8.3212972777189128E-4</v>
      </c>
      <c r="L193" s="329">
        <v>2200</v>
      </c>
      <c r="M193" s="211">
        <f t="shared" si="139"/>
        <v>4.2874092043659857E-4</v>
      </c>
      <c r="N193" s="243"/>
      <c r="O193" s="244">
        <f t="shared" si="140"/>
        <v>0</v>
      </c>
      <c r="P193" s="379"/>
      <c r="Q193" s="244">
        <f t="shared" si="141"/>
        <v>0</v>
      </c>
      <c r="R193" s="427"/>
      <c r="S193" s="428">
        <f t="shared" si="142"/>
        <v>0</v>
      </c>
      <c r="T193" s="379"/>
      <c r="U193" s="505">
        <f t="shared" si="151"/>
        <v>0</v>
      </c>
      <c r="V193" s="243">
        <v>0</v>
      </c>
      <c r="W193" s="505">
        <f t="shared" si="144"/>
        <v>0</v>
      </c>
      <c r="X193" s="427">
        <v>0</v>
      </c>
      <c r="Y193" s="428">
        <f t="shared" si="145"/>
        <v>0</v>
      </c>
      <c r="Z193" s="428">
        <f t="shared" si="152"/>
        <v>0</v>
      </c>
      <c r="AA193" s="379">
        <v>0</v>
      </c>
      <c r="AB193" s="505">
        <f t="shared" si="147"/>
        <v>0</v>
      </c>
      <c r="AC193" s="529" t="e">
        <f t="shared" si="113"/>
        <v>#DIV/0!</v>
      </c>
      <c r="AD193" s="427">
        <v>0</v>
      </c>
      <c r="AE193" s="428">
        <f t="shared" si="148"/>
        <v>0</v>
      </c>
      <c r="AF193" s="520" t="e">
        <f t="shared" si="114"/>
        <v>#DIV/0!</v>
      </c>
    </row>
    <row r="194" spans="1:32" ht="18" hidden="1" customHeight="1" x14ac:dyDescent="0.25">
      <c r="A194" s="101">
        <v>7</v>
      </c>
      <c r="B194" s="104" t="s">
        <v>146</v>
      </c>
      <c r="C194" s="75" t="s">
        <v>265</v>
      </c>
      <c r="D194" s="53">
        <v>3200</v>
      </c>
      <c r="E194" s="54">
        <f t="shared" si="135"/>
        <v>6.0789880454496456E-4</v>
      </c>
      <c r="F194" s="165">
        <v>3257</v>
      </c>
      <c r="G194" s="164">
        <f t="shared" si="136"/>
        <v>6.3711224814553776E-4</v>
      </c>
      <c r="H194" s="125">
        <v>2010</v>
      </c>
      <c r="I194" s="54">
        <f t="shared" si="137"/>
        <v>3.6846922667841856E-4</v>
      </c>
      <c r="J194" s="165">
        <v>2145</v>
      </c>
      <c r="K194" s="164">
        <f t="shared" si="138"/>
        <v>3.8385339055284015E-4</v>
      </c>
      <c r="L194" s="329">
        <v>1975</v>
      </c>
      <c r="M194" s="211">
        <f t="shared" si="139"/>
        <v>3.8489241721012828E-4</v>
      </c>
      <c r="N194" s="243"/>
      <c r="O194" s="244">
        <f t="shared" si="140"/>
        <v>0</v>
      </c>
      <c r="P194" s="379"/>
      <c r="Q194" s="244">
        <f t="shared" si="141"/>
        <v>0</v>
      </c>
      <c r="R194" s="427"/>
      <c r="S194" s="428">
        <f t="shared" si="142"/>
        <v>0</v>
      </c>
      <c r="T194" s="379"/>
      <c r="U194" s="505">
        <f t="shared" si="151"/>
        <v>0</v>
      </c>
      <c r="V194" s="243">
        <v>0</v>
      </c>
      <c r="W194" s="505">
        <f t="shared" si="144"/>
        <v>0</v>
      </c>
      <c r="X194" s="427">
        <v>0</v>
      </c>
      <c r="Y194" s="428">
        <f t="shared" si="145"/>
        <v>0</v>
      </c>
      <c r="Z194" s="428">
        <f t="shared" si="152"/>
        <v>0</v>
      </c>
      <c r="AA194" s="379">
        <v>0</v>
      </c>
      <c r="AB194" s="505">
        <f t="shared" si="147"/>
        <v>0</v>
      </c>
      <c r="AC194" s="529" t="e">
        <f t="shared" si="113"/>
        <v>#DIV/0!</v>
      </c>
      <c r="AD194" s="427">
        <v>0</v>
      </c>
      <c r="AE194" s="428">
        <f t="shared" si="148"/>
        <v>0</v>
      </c>
      <c r="AF194" s="520" t="e">
        <f t="shared" si="114"/>
        <v>#DIV/0!</v>
      </c>
    </row>
    <row r="195" spans="1:32" ht="18" hidden="1" customHeight="1" x14ac:dyDescent="0.25">
      <c r="A195" s="103">
        <v>8</v>
      </c>
      <c r="B195" s="104" t="s">
        <v>147</v>
      </c>
      <c r="C195" s="75" t="s">
        <v>266</v>
      </c>
      <c r="D195" s="53">
        <v>4963</v>
      </c>
      <c r="E195" s="54">
        <f t="shared" si="135"/>
        <v>9.4281305217395594E-4</v>
      </c>
      <c r="F195" s="165">
        <v>12407</v>
      </c>
      <c r="G195" s="164">
        <f t="shared" si="136"/>
        <v>2.4269731847533582E-3</v>
      </c>
      <c r="H195" s="125">
        <v>6681</v>
      </c>
      <c r="I195" s="54">
        <f t="shared" si="137"/>
        <v>1.2247477131534898E-3</v>
      </c>
      <c r="J195" s="165">
        <v>8289</v>
      </c>
      <c r="K195" s="164">
        <f t="shared" si="138"/>
        <v>1.4833383469895069E-3</v>
      </c>
      <c r="L195" s="329">
        <v>14359</v>
      </c>
      <c r="M195" s="211">
        <f t="shared" si="139"/>
        <v>2.7983140347950541E-3</v>
      </c>
      <c r="N195" s="243"/>
      <c r="O195" s="244">
        <f t="shared" si="140"/>
        <v>0</v>
      </c>
      <c r="P195" s="379"/>
      <c r="Q195" s="244">
        <f t="shared" si="141"/>
        <v>0</v>
      </c>
      <c r="R195" s="427"/>
      <c r="S195" s="428">
        <f t="shared" si="142"/>
        <v>0</v>
      </c>
      <c r="T195" s="379"/>
      <c r="U195" s="505">
        <f t="shared" si="151"/>
        <v>0</v>
      </c>
      <c r="V195" s="243">
        <v>0</v>
      </c>
      <c r="W195" s="505">
        <f t="shared" si="144"/>
        <v>0</v>
      </c>
      <c r="X195" s="427">
        <v>0</v>
      </c>
      <c r="Y195" s="428">
        <f t="shared" si="145"/>
        <v>0</v>
      </c>
      <c r="Z195" s="428">
        <f t="shared" si="152"/>
        <v>0</v>
      </c>
      <c r="AA195" s="379">
        <v>0</v>
      </c>
      <c r="AB195" s="505">
        <f t="shared" si="147"/>
        <v>0</v>
      </c>
      <c r="AC195" s="529" t="e">
        <f t="shared" si="113"/>
        <v>#DIV/0!</v>
      </c>
      <c r="AD195" s="427">
        <v>0</v>
      </c>
      <c r="AE195" s="428">
        <f t="shared" si="148"/>
        <v>0</v>
      </c>
      <c r="AF195" s="520" t="e">
        <f t="shared" si="114"/>
        <v>#DIV/0!</v>
      </c>
    </row>
    <row r="196" spans="1:32" ht="18" hidden="1" customHeight="1" x14ac:dyDescent="0.25">
      <c r="A196" s="101">
        <v>9</v>
      </c>
      <c r="B196" s="104" t="s">
        <v>148</v>
      </c>
      <c r="C196" s="75" t="s">
        <v>222</v>
      </c>
      <c r="D196" s="53">
        <v>6786</v>
      </c>
      <c r="E196" s="54">
        <f t="shared" si="135"/>
        <v>1.2891254023881654E-3</v>
      </c>
      <c r="F196" s="165">
        <v>6976</v>
      </c>
      <c r="G196" s="164">
        <f t="shared" si="136"/>
        <v>1.3645978025984867E-3</v>
      </c>
      <c r="H196" s="125">
        <v>7820</v>
      </c>
      <c r="I196" s="54">
        <f t="shared" si="137"/>
        <v>1.4335469416045937E-3</v>
      </c>
      <c r="J196" s="165">
        <v>7804</v>
      </c>
      <c r="K196" s="164">
        <f t="shared" si="138"/>
        <v>1.3965463216197504E-3</v>
      </c>
      <c r="L196" s="329">
        <v>6599</v>
      </c>
      <c r="M196" s="211">
        <f t="shared" si="139"/>
        <v>1.2860278790732336E-3</v>
      </c>
      <c r="N196" s="243"/>
      <c r="O196" s="244">
        <f t="shared" si="140"/>
        <v>0</v>
      </c>
      <c r="P196" s="379"/>
      <c r="Q196" s="244">
        <f t="shared" si="141"/>
        <v>0</v>
      </c>
      <c r="R196" s="427"/>
      <c r="S196" s="428">
        <f t="shared" si="142"/>
        <v>0</v>
      </c>
      <c r="T196" s="379"/>
      <c r="U196" s="505">
        <f t="shared" si="151"/>
        <v>0</v>
      </c>
      <c r="V196" s="243">
        <v>0</v>
      </c>
      <c r="W196" s="505">
        <f t="shared" si="144"/>
        <v>0</v>
      </c>
      <c r="X196" s="427">
        <v>0</v>
      </c>
      <c r="Y196" s="428">
        <f t="shared" si="145"/>
        <v>0</v>
      </c>
      <c r="Z196" s="428">
        <f t="shared" si="152"/>
        <v>0</v>
      </c>
      <c r="AA196" s="379">
        <v>0</v>
      </c>
      <c r="AB196" s="505">
        <f t="shared" si="147"/>
        <v>0</v>
      </c>
      <c r="AC196" s="529" t="e">
        <f t="shared" ref="AC196:AC258" si="153">ROUND((AA196-X196)/X196,4)</f>
        <v>#DIV/0!</v>
      </c>
      <c r="AD196" s="427">
        <v>0</v>
      </c>
      <c r="AE196" s="428">
        <f t="shared" si="148"/>
        <v>0</v>
      </c>
      <c r="AF196" s="520" t="e">
        <f t="shared" ref="AF196:AF258" si="154">ROUND((AD196-AA196)/AA196,4)</f>
        <v>#DIV/0!</v>
      </c>
    </row>
    <row r="197" spans="1:32" ht="18" hidden="1" customHeight="1" x14ac:dyDescent="0.25">
      <c r="A197" s="103">
        <v>10</v>
      </c>
      <c r="B197" s="104"/>
      <c r="C197" s="75" t="s">
        <v>221</v>
      </c>
      <c r="D197" s="53"/>
      <c r="E197" s="54"/>
      <c r="F197" s="165"/>
      <c r="G197" s="164"/>
      <c r="H197" s="125">
        <v>0</v>
      </c>
      <c r="I197" s="54">
        <f t="shared" si="137"/>
        <v>0</v>
      </c>
      <c r="J197" s="165">
        <v>0</v>
      </c>
      <c r="K197" s="164">
        <f t="shared" si="138"/>
        <v>0</v>
      </c>
      <c r="L197" s="329">
        <v>0</v>
      </c>
      <c r="M197" s="211">
        <f t="shared" si="139"/>
        <v>0</v>
      </c>
      <c r="N197" s="243"/>
      <c r="O197" s="244">
        <f t="shared" si="140"/>
        <v>0</v>
      </c>
      <c r="P197" s="379"/>
      <c r="Q197" s="244">
        <f t="shared" si="141"/>
        <v>0</v>
      </c>
      <c r="R197" s="427"/>
      <c r="S197" s="428">
        <f t="shared" si="142"/>
        <v>0</v>
      </c>
      <c r="T197" s="379"/>
      <c r="U197" s="505">
        <f t="shared" si="151"/>
        <v>0</v>
      </c>
      <c r="V197" s="243">
        <v>0</v>
      </c>
      <c r="W197" s="505">
        <f t="shared" si="144"/>
        <v>0</v>
      </c>
      <c r="X197" s="427">
        <v>0</v>
      </c>
      <c r="Y197" s="428">
        <f t="shared" si="145"/>
        <v>0</v>
      </c>
      <c r="Z197" s="428">
        <f t="shared" si="152"/>
        <v>0</v>
      </c>
      <c r="AA197" s="379">
        <v>0</v>
      </c>
      <c r="AB197" s="505">
        <f t="shared" si="147"/>
        <v>0</v>
      </c>
      <c r="AC197" s="529" t="e">
        <f t="shared" si="153"/>
        <v>#DIV/0!</v>
      </c>
      <c r="AD197" s="427">
        <v>0</v>
      </c>
      <c r="AE197" s="428">
        <f t="shared" si="148"/>
        <v>0</v>
      </c>
      <c r="AF197" s="520" t="e">
        <f t="shared" si="154"/>
        <v>#DIV/0!</v>
      </c>
    </row>
    <row r="198" spans="1:32" ht="18" hidden="1" customHeight="1" x14ac:dyDescent="0.25">
      <c r="A198" s="101">
        <v>11</v>
      </c>
      <c r="B198" s="104" t="s">
        <v>149</v>
      </c>
      <c r="C198" s="75" t="s">
        <v>224</v>
      </c>
      <c r="D198" s="53">
        <v>9303</v>
      </c>
      <c r="E198" s="54">
        <f>D198/D$12</f>
        <v>1.767275805838064E-3</v>
      </c>
      <c r="F198" s="165">
        <v>6908</v>
      </c>
      <c r="G198" s="164">
        <f>F198/F$12</f>
        <v>1.3512961038346255E-3</v>
      </c>
      <c r="H198" s="125">
        <v>4393</v>
      </c>
      <c r="I198" s="54">
        <f t="shared" si="137"/>
        <v>8.0531607601905112E-4</v>
      </c>
      <c r="J198" s="165">
        <v>5199</v>
      </c>
      <c r="K198" s="164">
        <f t="shared" si="138"/>
        <v>9.3037472143786288E-4</v>
      </c>
      <c r="L198" s="329">
        <v>9142</v>
      </c>
      <c r="M198" s="211">
        <f t="shared" si="139"/>
        <v>1.7816134066506292E-3</v>
      </c>
      <c r="N198" s="243"/>
      <c r="O198" s="244">
        <f t="shared" si="140"/>
        <v>0</v>
      </c>
      <c r="P198" s="379"/>
      <c r="Q198" s="244">
        <f t="shared" si="141"/>
        <v>0</v>
      </c>
      <c r="R198" s="427"/>
      <c r="S198" s="428">
        <f t="shared" si="142"/>
        <v>0</v>
      </c>
      <c r="T198" s="379"/>
      <c r="U198" s="505">
        <f t="shared" si="151"/>
        <v>0</v>
      </c>
      <c r="V198" s="243">
        <v>0</v>
      </c>
      <c r="W198" s="505">
        <f t="shared" si="144"/>
        <v>0</v>
      </c>
      <c r="X198" s="427">
        <v>0</v>
      </c>
      <c r="Y198" s="428">
        <f t="shared" si="145"/>
        <v>0</v>
      </c>
      <c r="Z198" s="428">
        <f t="shared" si="152"/>
        <v>0</v>
      </c>
      <c r="AA198" s="379">
        <v>0</v>
      </c>
      <c r="AB198" s="505">
        <f t="shared" si="147"/>
        <v>0</v>
      </c>
      <c r="AC198" s="529" t="e">
        <f t="shared" si="153"/>
        <v>#DIV/0!</v>
      </c>
      <c r="AD198" s="427">
        <v>0</v>
      </c>
      <c r="AE198" s="428">
        <f t="shared" si="148"/>
        <v>0</v>
      </c>
      <c r="AF198" s="520" t="e">
        <f t="shared" si="154"/>
        <v>#DIV/0!</v>
      </c>
    </row>
    <row r="199" spans="1:32" ht="18" hidden="1" customHeight="1" x14ac:dyDescent="0.25">
      <c r="A199" s="103">
        <v>12</v>
      </c>
      <c r="B199" s="104" t="s">
        <v>150</v>
      </c>
      <c r="C199" s="75" t="s">
        <v>5</v>
      </c>
      <c r="D199" s="53">
        <v>9830</v>
      </c>
      <c r="E199" s="54">
        <f>D199/D$12</f>
        <v>1.867389140211563E-3</v>
      </c>
      <c r="F199" s="165">
        <v>10419</v>
      </c>
      <c r="G199" s="164">
        <f>F199/F$12</f>
        <v>2.038094109127528E-3</v>
      </c>
      <c r="H199" s="125">
        <v>10962</v>
      </c>
      <c r="I199" s="54">
        <f t="shared" si="137"/>
        <v>2.0095321705715543E-3</v>
      </c>
      <c r="J199" s="165">
        <v>11415</v>
      </c>
      <c r="K199" s="164">
        <f t="shared" si="138"/>
        <v>2.0427442672077715E-3</v>
      </c>
      <c r="L199" s="329">
        <v>11737</v>
      </c>
      <c r="M199" s="211">
        <f t="shared" si="139"/>
        <v>2.2873328105292535E-3</v>
      </c>
      <c r="N199" s="243"/>
      <c r="O199" s="244">
        <f t="shared" si="140"/>
        <v>0</v>
      </c>
      <c r="P199" s="379"/>
      <c r="Q199" s="244">
        <f t="shared" si="141"/>
        <v>0</v>
      </c>
      <c r="R199" s="427"/>
      <c r="S199" s="428">
        <f t="shared" si="142"/>
        <v>0</v>
      </c>
      <c r="T199" s="379"/>
      <c r="U199" s="505">
        <f t="shared" si="151"/>
        <v>0</v>
      </c>
      <c r="V199" s="243">
        <v>0</v>
      </c>
      <c r="W199" s="505">
        <f t="shared" si="144"/>
        <v>0</v>
      </c>
      <c r="X199" s="427">
        <v>0</v>
      </c>
      <c r="Y199" s="428">
        <f t="shared" si="145"/>
        <v>0</v>
      </c>
      <c r="Z199" s="428">
        <f t="shared" si="152"/>
        <v>0</v>
      </c>
      <c r="AA199" s="379">
        <v>0</v>
      </c>
      <c r="AB199" s="505">
        <f t="shared" si="147"/>
        <v>0</v>
      </c>
      <c r="AC199" s="529" t="e">
        <f t="shared" si="153"/>
        <v>#DIV/0!</v>
      </c>
      <c r="AD199" s="427">
        <v>0</v>
      </c>
      <c r="AE199" s="428">
        <f t="shared" si="148"/>
        <v>0</v>
      </c>
      <c r="AF199" s="520" t="e">
        <f t="shared" si="154"/>
        <v>#DIV/0!</v>
      </c>
    </row>
    <row r="200" spans="1:32" ht="18" hidden="1" customHeight="1" x14ac:dyDescent="0.25">
      <c r="A200" s="101">
        <v>13</v>
      </c>
      <c r="B200" s="104" t="s">
        <v>151</v>
      </c>
      <c r="C200" s="76" t="s">
        <v>225</v>
      </c>
      <c r="D200" s="55">
        <v>9023</v>
      </c>
      <c r="E200" s="56">
        <f>D200/D$12</f>
        <v>1.7140846604403797E-3</v>
      </c>
      <c r="F200" s="166">
        <v>11279</v>
      </c>
      <c r="G200" s="167">
        <f>F200/F$12</f>
        <v>2.2063214758469515E-3</v>
      </c>
      <c r="H200" s="126">
        <v>11730</v>
      </c>
      <c r="I200" s="56">
        <f t="shared" si="137"/>
        <v>2.1503204124068906E-3</v>
      </c>
      <c r="J200" s="166">
        <v>13392</v>
      </c>
      <c r="K200" s="167">
        <f t="shared" si="138"/>
        <v>2.3965336159830469E-3</v>
      </c>
      <c r="L200" s="331">
        <v>13724</v>
      </c>
      <c r="M200" s="212">
        <f t="shared" si="139"/>
        <v>2.6745638145781268E-3</v>
      </c>
      <c r="N200" s="246"/>
      <c r="O200" s="247">
        <f t="shared" si="140"/>
        <v>0</v>
      </c>
      <c r="P200" s="381"/>
      <c r="Q200" s="247">
        <f t="shared" si="141"/>
        <v>0</v>
      </c>
      <c r="R200" s="430"/>
      <c r="S200" s="431">
        <f t="shared" si="142"/>
        <v>0</v>
      </c>
      <c r="T200" s="381"/>
      <c r="U200" s="506">
        <f t="shared" si="151"/>
        <v>0</v>
      </c>
      <c r="V200" s="246">
        <v>0</v>
      </c>
      <c r="W200" s="506">
        <f t="shared" si="144"/>
        <v>0</v>
      </c>
      <c r="X200" s="430">
        <v>0</v>
      </c>
      <c r="Y200" s="431">
        <f t="shared" si="145"/>
        <v>0</v>
      </c>
      <c r="Z200" s="431">
        <f t="shared" si="152"/>
        <v>0</v>
      </c>
      <c r="AA200" s="381">
        <v>0</v>
      </c>
      <c r="AB200" s="506">
        <f t="shared" si="147"/>
        <v>0</v>
      </c>
      <c r="AC200" s="529" t="e">
        <f t="shared" si="153"/>
        <v>#DIV/0!</v>
      </c>
      <c r="AD200" s="430">
        <v>0</v>
      </c>
      <c r="AE200" s="431">
        <f t="shared" si="148"/>
        <v>0</v>
      </c>
      <c r="AF200" s="520" t="e">
        <f t="shared" si="154"/>
        <v>#DIV/0!</v>
      </c>
    </row>
    <row r="201" spans="1:32" ht="18" hidden="1" customHeight="1" thickBot="1" x14ac:dyDescent="0.3">
      <c r="A201" s="97"/>
      <c r="B201" s="98"/>
      <c r="C201" s="82" t="s">
        <v>226</v>
      </c>
      <c r="D201" s="37">
        <f>SUM(D185:D200)</f>
        <v>334828</v>
      </c>
      <c r="E201" s="38">
        <f>D201/D$12</f>
        <v>6.360673154005668E-2</v>
      </c>
      <c r="F201" s="179">
        <f>SUM(F185:F200)</f>
        <v>366870</v>
      </c>
      <c r="G201" s="180">
        <f>F201/F$12</f>
        <v>7.1764620963203393E-2</v>
      </c>
      <c r="H201" s="133">
        <f>SUM(H185:H200)</f>
        <v>359073</v>
      </c>
      <c r="I201" s="38">
        <f>H201/H$12</f>
        <v>6.5824552552785964E-2</v>
      </c>
      <c r="J201" s="179">
        <f>SUM(J185:J200)</f>
        <v>379827</v>
      </c>
      <c r="K201" s="180">
        <f>J201/J$12</f>
        <v>6.7971040453852508E-2</v>
      </c>
      <c r="L201" s="339">
        <f>SUM(L185:L200)</f>
        <v>390011</v>
      </c>
      <c r="M201" s="219">
        <f>L201/L$12</f>
        <v>7.6006215963817389E-2</v>
      </c>
      <c r="N201" s="263">
        <f>SUM(N185:N200)</f>
        <v>505965</v>
      </c>
      <c r="O201" s="264">
        <f t="shared" si="140"/>
        <v>9.5655484850885278E-2</v>
      </c>
      <c r="P201" s="395">
        <f>SUM(P185:P200)</f>
        <v>488165</v>
      </c>
      <c r="Q201" s="264">
        <f t="shared" si="141"/>
        <v>0.10042034750153048</v>
      </c>
      <c r="R201" s="447">
        <f>SUM(R185:R200)</f>
        <v>496526</v>
      </c>
      <c r="S201" s="448">
        <f t="shared" si="142"/>
        <v>9.215868132936901E-2</v>
      </c>
      <c r="T201" s="395">
        <f>SUM(T185:T200)</f>
        <v>456332</v>
      </c>
      <c r="U201" s="514">
        <f t="shared" si="151"/>
        <v>0.10123173275809287</v>
      </c>
      <c r="V201" s="263">
        <f>SUM(V185:V200)</f>
        <v>536600</v>
      </c>
      <c r="W201" s="514">
        <f t="shared" si="144"/>
        <v>0.10124528301886793</v>
      </c>
      <c r="X201" s="447">
        <f>SUM(X185:X200)</f>
        <v>537500</v>
      </c>
      <c r="Y201" s="448">
        <f t="shared" si="145"/>
        <v>0.10141509433962265</v>
      </c>
      <c r="Z201" s="524">
        <f t="shared" ref="Z201" si="155">ROUND((X201-V201)/V201,4)</f>
        <v>1.6999999999999999E-3</v>
      </c>
      <c r="AA201" s="395">
        <f>SUM(AA185:AA200)</f>
        <v>557690</v>
      </c>
      <c r="AB201" s="514">
        <f t="shared" si="147"/>
        <v>0.10139818181818182</v>
      </c>
      <c r="AC201" s="533">
        <f t="shared" si="153"/>
        <v>3.7600000000000001E-2</v>
      </c>
      <c r="AD201" s="447">
        <f>SUM(AD185:AD200)</f>
        <v>587890</v>
      </c>
      <c r="AE201" s="448">
        <f t="shared" si="148"/>
        <v>0.10136034482758621</v>
      </c>
      <c r="AF201" s="524">
        <f t="shared" si="154"/>
        <v>5.4199999999999998E-2</v>
      </c>
    </row>
    <row r="202" spans="1:32" ht="18" hidden="1" customHeight="1" thickTop="1" x14ac:dyDescent="0.25">
      <c r="A202" s="97"/>
      <c r="B202" s="98"/>
      <c r="C202" s="78"/>
      <c r="D202" s="33"/>
      <c r="E202" s="29"/>
      <c r="F202" s="183"/>
      <c r="G202" s="160"/>
      <c r="H202" s="136"/>
      <c r="I202" s="29"/>
      <c r="J202" s="183"/>
      <c r="K202" s="160"/>
      <c r="L202" s="341"/>
      <c r="M202" s="209"/>
      <c r="N202" s="267"/>
      <c r="O202" s="242"/>
      <c r="P202" s="397"/>
      <c r="Q202" s="242"/>
      <c r="R202" s="451"/>
      <c r="S202" s="426"/>
      <c r="T202" s="397"/>
      <c r="U202" s="504"/>
      <c r="V202" s="267"/>
      <c r="W202" s="504"/>
      <c r="X202" s="451"/>
      <c r="Y202" s="426"/>
      <c r="Z202" s="426"/>
      <c r="AA202" s="397"/>
      <c r="AB202" s="504"/>
      <c r="AC202" s="530"/>
      <c r="AD202" s="451"/>
      <c r="AE202" s="426"/>
      <c r="AF202" s="523"/>
    </row>
    <row r="203" spans="1:32" ht="18" hidden="1" customHeight="1" x14ac:dyDescent="0.25">
      <c r="A203" s="97"/>
      <c r="B203" s="98"/>
      <c r="C203" s="73" t="s">
        <v>267</v>
      </c>
      <c r="D203" s="28"/>
      <c r="E203" s="29"/>
      <c r="F203" s="159"/>
      <c r="G203" s="160"/>
      <c r="H203" s="122"/>
      <c r="I203" s="29"/>
      <c r="J203" s="159"/>
      <c r="K203" s="160"/>
      <c r="L203" s="328"/>
      <c r="M203" s="209"/>
      <c r="N203" s="241"/>
      <c r="O203" s="242"/>
      <c r="P203" s="378"/>
      <c r="Q203" s="242"/>
      <c r="R203" s="425"/>
      <c r="S203" s="426"/>
      <c r="T203" s="378"/>
      <c r="U203" s="504"/>
      <c r="V203" s="241"/>
      <c r="W203" s="504"/>
      <c r="X203" s="425"/>
      <c r="Y203" s="426"/>
      <c r="Z203" s="426"/>
      <c r="AA203" s="378"/>
      <c r="AB203" s="504"/>
      <c r="AC203" s="532"/>
      <c r="AD203" s="425"/>
      <c r="AE203" s="426"/>
      <c r="AF203" s="528"/>
    </row>
    <row r="204" spans="1:32" ht="18" hidden="1" customHeight="1" x14ac:dyDescent="0.25">
      <c r="A204" s="97"/>
      <c r="B204" s="98"/>
      <c r="C204" s="75" t="s">
        <v>214</v>
      </c>
      <c r="D204" s="106">
        <v>2</v>
      </c>
      <c r="E204" s="109"/>
      <c r="F204" s="177">
        <v>2</v>
      </c>
      <c r="G204" s="184"/>
      <c r="H204" s="132">
        <v>2</v>
      </c>
      <c r="I204" s="109"/>
      <c r="J204" s="177">
        <v>2</v>
      </c>
      <c r="K204" s="184"/>
      <c r="L204" s="338">
        <v>2</v>
      </c>
      <c r="M204" s="221"/>
      <c r="N204" s="261">
        <v>2</v>
      </c>
      <c r="O204" s="268"/>
      <c r="P204" s="394">
        <v>2</v>
      </c>
      <c r="Q204" s="268"/>
      <c r="R204" s="445">
        <v>2</v>
      </c>
      <c r="S204" s="453"/>
      <c r="T204" s="394">
        <v>2</v>
      </c>
      <c r="U204" s="516"/>
      <c r="V204" s="261">
        <v>2</v>
      </c>
      <c r="W204" s="516"/>
      <c r="X204" s="445">
        <v>2</v>
      </c>
      <c r="Y204" s="453"/>
      <c r="Z204" s="453"/>
      <c r="AA204" s="394">
        <v>2</v>
      </c>
      <c r="AB204" s="516"/>
      <c r="AC204" s="529">
        <f t="shared" si="153"/>
        <v>0</v>
      </c>
      <c r="AD204" s="445">
        <v>2</v>
      </c>
      <c r="AE204" s="453"/>
      <c r="AF204" s="520">
        <f t="shared" si="154"/>
        <v>0</v>
      </c>
    </row>
    <row r="205" spans="1:32" ht="18" hidden="1" customHeight="1" x14ac:dyDescent="0.25">
      <c r="A205" s="101">
        <v>1</v>
      </c>
      <c r="B205" s="102" t="s">
        <v>152</v>
      </c>
      <c r="C205" s="74" t="s">
        <v>215</v>
      </c>
      <c r="D205" s="51">
        <v>111852</v>
      </c>
      <c r="E205" s="52">
        <f t="shared" ref="E205:E212" si="156">D205/D$12</f>
        <v>2.1248342839363554E-2</v>
      </c>
      <c r="F205" s="161">
        <v>114910</v>
      </c>
      <c r="G205" s="162">
        <f t="shared" ref="G205:G212" si="157">F205/F$12</f>
        <v>2.2477914778754604E-2</v>
      </c>
      <c r="H205" s="123">
        <v>120565</v>
      </c>
      <c r="I205" s="52">
        <f t="shared" ref="I205:I212" si="158">H205/H$12</f>
        <v>2.2101737469892305E-2</v>
      </c>
      <c r="J205" s="161">
        <v>124129</v>
      </c>
      <c r="K205" s="162">
        <f t="shared" ref="K205:K212" si="159">J205/J$12</f>
        <v>2.2213210963139159E-2</v>
      </c>
      <c r="L205" s="336">
        <v>126822</v>
      </c>
      <c r="M205" s="210">
        <f t="shared" ref="M205:M212" si="160">L205/L$12</f>
        <v>2.4715355005277412E-2</v>
      </c>
      <c r="N205" s="255">
        <v>94973</v>
      </c>
      <c r="O205" s="256">
        <f t="shared" ref="O205:O213" si="161">N205/N$12</f>
        <v>1.7955171529143572E-2</v>
      </c>
      <c r="P205" s="387">
        <v>99684</v>
      </c>
      <c r="Q205" s="256">
        <f t="shared" ref="Q205:Q213" si="162">P205/P$12</f>
        <v>2.0505980396674412E-2</v>
      </c>
      <c r="R205" s="439">
        <v>75137</v>
      </c>
      <c r="S205" s="440">
        <f t="shared" ref="S205:S213" si="163">R205/R$12</f>
        <v>1.3945950139659958E-2</v>
      </c>
      <c r="T205" s="572">
        <v>54814</v>
      </c>
      <c r="U205" s="510">
        <f t="shared" ref="U205:U213" si="164">T205/T$12</f>
        <v>1.2159822671655949E-2</v>
      </c>
      <c r="V205" s="255">
        <v>72745</v>
      </c>
      <c r="W205" s="510">
        <f t="shared" ref="W205:W213" si="165">V205/V$12</f>
        <v>1.3725471698113207E-2</v>
      </c>
      <c r="X205" s="427">
        <v>75245</v>
      </c>
      <c r="Y205" s="440">
        <f t="shared" ref="Y205:Y213" si="166">X205/X$12</f>
        <v>1.4197169811320754E-2</v>
      </c>
      <c r="Z205" s="520">
        <f t="shared" ref="Z205:Z213" si="167">ROUND((X205-V205)/V205,4)</f>
        <v>3.44E-2</v>
      </c>
      <c r="AA205" s="379">
        <v>75245</v>
      </c>
      <c r="AB205" s="510">
        <f t="shared" ref="AB205:AB213" si="168">AA205/AA$12</f>
        <v>1.3680909090909091E-2</v>
      </c>
      <c r="AC205" s="529">
        <f t="shared" si="153"/>
        <v>0</v>
      </c>
      <c r="AD205" s="427">
        <v>78025</v>
      </c>
      <c r="AE205" s="440">
        <f t="shared" ref="AE205:AE213" si="169">AD205/AD$12</f>
        <v>1.3452586206896551E-2</v>
      </c>
      <c r="AF205" s="520">
        <f t="shared" si="154"/>
        <v>3.6900000000000002E-2</v>
      </c>
    </row>
    <row r="206" spans="1:32" ht="18" hidden="1" customHeight="1" x14ac:dyDescent="0.25">
      <c r="A206" s="101">
        <v>2</v>
      </c>
      <c r="B206" s="104" t="s">
        <v>153</v>
      </c>
      <c r="C206" s="75" t="s">
        <v>217</v>
      </c>
      <c r="D206" s="53">
        <v>1628</v>
      </c>
      <c r="E206" s="54">
        <f t="shared" si="156"/>
        <v>3.0926851681225068E-4</v>
      </c>
      <c r="F206" s="165">
        <v>1489</v>
      </c>
      <c r="G206" s="164">
        <f t="shared" si="157"/>
        <v>2.9126808028514145E-4</v>
      </c>
      <c r="H206" s="125">
        <v>2019</v>
      </c>
      <c r="I206" s="54">
        <f t="shared" si="158"/>
        <v>3.7011908888742642E-4</v>
      </c>
      <c r="J206" s="165">
        <v>1100</v>
      </c>
      <c r="K206" s="164">
        <f t="shared" si="159"/>
        <v>1.9684789259120008E-4</v>
      </c>
      <c r="L206" s="329">
        <v>2488</v>
      </c>
      <c r="M206" s="211">
        <f t="shared" si="160"/>
        <v>4.8486700456648059E-4</v>
      </c>
      <c r="N206" s="243">
        <v>701</v>
      </c>
      <c r="O206" s="244">
        <f t="shared" si="161"/>
        <v>1.3252793153769644E-4</v>
      </c>
      <c r="P206" s="379">
        <v>199</v>
      </c>
      <c r="Q206" s="244">
        <f t="shared" si="162"/>
        <v>4.0936259569622085E-5</v>
      </c>
      <c r="R206" s="427">
        <v>1164</v>
      </c>
      <c r="S206" s="428">
        <f t="shared" si="163"/>
        <v>2.1604650122528435E-4</v>
      </c>
      <c r="T206" s="570">
        <v>1146</v>
      </c>
      <c r="U206" s="505">
        <f t="shared" si="164"/>
        <v>2.5422623384021816E-4</v>
      </c>
      <c r="V206" s="243">
        <v>1375</v>
      </c>
      <c r="W206" s="505">
        <f t="shared" si="165"/>
        <v>2.5943396226415095E-4</v>
      </c>
      <c r="X206" s="427">
        <v>1300</v>
      </c>
      <c r="Y206" s="428">
        <f t="shared" si="166"/>
        <v>2.4528301886792453E-4</v>
      </c>
      <c r="Z206" s="520">
        <f t="shared" si="167"/>
        <v>-5.45E-2</v>
      </c>
      <c r="AA206" s="573">
        <f t="shared" ref="AA206:AA209" si="170">ROUND(X206*$AH$1,-1)</f>
        <v>1330</v>
      </c>
      <c r="AB206" s="505">
        <f t="shared" si="168"/>
        <v>2.4181818181818183E-4</v>
      </c>
      <c r="AC206" s="529">
        <f t="shared" si="153"/>
        <v>2.3099999999999999E-2</v>
      </c>
      <c r="AD206" s="427">
        <f t="shared" ref="AD206:AD209" si="171">ROUND(AA206*$AH$1,-1)</f>
        <v>1360</v>
      </c>
      <c r="AE206" s="428">
        <f t="shared" si="169"/>
        <v>2.3448275862068965E-4</v>
      </c>
      <c r="AF206" s="520">
        <f t="shared" si="154"/>
        <v>2.2599999999999999E-2</v>
      </c>
    </row>
    <row r="207" spans="1:32" ht="18" hidden="1" customHeight="1" x14ac:dyDescent="0.25">
      <c r="A207" s="101">
        <v>3</v>
      </c>
      <c r="B207" s="104"/>
      <c r="C207" s="75" t="s">
        <v>220</v>
      </c>
      <c r="D207" s="53"/>
      <c r="E207" s="54"/>
      <c r="F207" s="165"/>
      <c r="G207" s="164"/>
      <c r="H207" s="125"/>
      <c r="I207" s="54"/>
      <c r="J207" s="165"/>
      <c r="K207" s="164"/>
      <c r="L207" s="329"/>
      <c r="M207" s="211"/>
      <c r="N207" s="243">
        <v>1152</v>
      </c>
      <c r="O207" s="244">
        <f t="shared" si="161"/>
        <v>2.1779197878948119E-4</v>
      </c>
      <c r="P207" s="379">
        <v>1152</v>
      </c>
      <c r="Q207" s="244">
        <f t="shared" si="162"/>
        <v>2.3697774384022434E-4</v>
      </c>
      <c r="R207" s="427">
        <v>1152</v>
      </c>
      <c r="S207" s="428">
        <f t="shared" si="163"/>
        <v>2.1381921770749791E-4</v>
      </c>
      <c r="T207" s="570">
        <v>865</v>
      </c>
      <c r="U207" s="505">
        <f t="shared" si="164"/>
        <v>1.9188978383227634E-4</v>
      </c>
      <c r="V207" s="243">
        <v>1175</v>
      </c>
      <c r="W207" s="505">
        <f t="shared" si="165"/>
        <v>2.2169811320754717E-4</v>
      </c>
      <c r="X207" s="427">
        <v>1200</v>
      </c>
      <c r="Y207" s="428">
        <f t="shared" si="166"/>
        <v>2.2641509433962264E-4</v>
      </c>
      <c r="Z207" s="520">
        <f t="shared" si="167"/>
        <v>2.1299999999999999E-2</v>
      </c>
      <c r="AA207" s="573">
        <f t="shared" si="170"/>
        <v>1230</v>
      </c>
      <c r="AB207" s="505">
        <f t="shared" si="168"/>
        <v>2.2363636363636363E-4</v>
      </c>
      <c r="AC207" s="529">
        <f t="shared" si="153"/>
        <v>2.5000000000000001E-2</v>
      </c>
      <c r="AD207" s="427">
        <f t="shared" si="171"/>
        <v>1260</v>
      </c>
      <c r="AE207" s="428">
        <f t="shared" si="169"/>
        <v>2.1724137931034481E-4</v>
      </c>
      <c r="AF207" s="520">
        <f t="shared" si="154"/>
        <v>2.4400000000000002E-2</v>
      </c>
    </row>
    <row r="208" spans="1:32" ht="18" hidden="1" customHeight="1" x14ac:dyDescent="0.25">
      <c r="A208" s="101">
        <v>4</v>
      </c>
      <c r="B208" s="104" t="s">
        <v>154</v>
      </c>
      <c r="C208" s="75" t="s">
        <v>222</v>
      </c>
      <c r="D208" s="53">
        <v>1962</v>
      </c>
      <c r="E208" s="54">
        <f t="shared" si="156"/>
        <v>3.7271795453663138E-4</v>
      </c>
      <c r="F208" s="165">
        <v>1893</v>
      </c>
      <c r="G208" s="164">
        <f t="shared" si="157"/>
        <v>3.7029581999984741E-4</v>
      </c>
      <c r="H208" s="125">
        <v>2052</v>
      </c>
      <c r="I208" s="54">
        <f t="shared" si="158"/>
        <v>3.7616858365378852E-4</v>
      </c>
      <c r="J208" s="165">
        <v>1954</v>
      </c>
      <c r="K208" s="164">
        <f t="shared" si="159"/>
        <v>3.4967343829382267E-4</v>
      </c>
      <c r="L208" s="329">
        <v>1920</v>
      </c>
      <c r="M208" s="211">
        <f t="shared" si="160"/>
        <v>3.7417389419921332E-4</v>
      </c>
      <c r="N208" s="243">
        <v>1851</v>
      </c>
      <c r="O208" s="244">
        <f t="shared" si="161"/>
        <v>3.4994179925289031E-4</v>
      </c>
      <c r="P208" s="379">
        <v>1923</v>
      </c>
      <c r="Q208" s="244">
        <f t="shared" si="162"/>
        <v>3.9558003594162449E-4</v>
      </c>
      <c r="R208" s="427">
        <v>1874</v>
      </c>
      <c r="S208" s="428">
        <f t="shared" si="163"/>
        <v>3.4782744269431517E-4</v>
      </c>
      <c r="T208" s="570">
        <v>2083</v>
      </c>
      <c r="U208" s="505">
        <f t="shared" si="164"/>
        <v>4.6208834650015218E-4</v>
      </c>
      <c r="V208" s="243">
        <v>2000</v>
      </c>
      <c r="W208" s="505">
        <f t="shared" si="165"/>
        <v>3.7735849056603772E-4</v>
      </c>
      <c r="X208" s="427">
        <v>2000</v>
      </c>
      <c r="Y208" s="428">
        <f t="shared" si="166"/>
        <v>3.7735849056603772E-4</v>
      </c>
      <c r="Z208" s="520">
        <f t="shared" si="167"/>
        <v>0</v>
      </c>
      <c r="AA208" s="573">
        <f t="shared" si="170"/>
        <v>2050</v>
      </c>
      <c r="AB208" s="505">
        <f t="shared" si="168"/>
        <v>3.7272727272727273E-4</v>
      </c>
      <c r="AC208" s="529">
        <f t="shared" si="153"/>
        <v>2.5000000000000001E-2</v>
      </c>
      <c r="AD208" s="427">
        <f t="shared" si="171"/>
        <v>2100</v>
      </c>
      <c r="AE208" s="428">
        <f t="shared" si="169"/>
        <v>3.6206896551724136E-4</v>
      </c>
      <c r="AF208" s="520">
        <f t="shared" si="154"/>
        <v>2.4400000000000002E-2</v>
      </c>
    </row>
    <row r="209" spans="1:32" ht="18" hidden="1" customHeight="1" x14ac:dyDescent="0.25">
      <c r="A209" s="101">
        <v>5</v>
      </c>
      <c r="B209" s="104" t="s">
        <v>155</v>
      </c>
      <c r="C209" s="75" t="s">
        <v>379</v>
      </c>
      <c r="D209" s="53">
        <v>5199</v>
      </c>
      <c r="E209" s="54">
        <f t="shared" si="156"/>
        <v>9.8764558900914711E-4</v>
      </c>
      <c r="F209" s="165">
        <v>610</v>
      </c>
      <c r="G209" s="164">
        <f t="shared" si="157"/>
        <v>1.1932406244052135E-4</v>
      </c>
      <c r="H209" s="125">
        <v>4500</v>
      </c>
      <c r="I209" s="54">
        <f t="shared" si="158"/>
        <v>8.2493110450392222E-4</v>
      </c>
      <c r="J209" s="165">
        <v>1538</v>
      </c>
      <c r="K209" s="164">
        <f t="shared" si="159"/>
        <v>2.752291443684234E-4</v>
      </c>
      <c r="L209" s="329">
        <v>680</v>
      </c>
      <c r="M209" s="211">
        <f t="shared" si="160"/>
        <v>1.3251992086222138E-4</v>
      </c>
      <c r="N209" s="243">
        <f>300+694</f>
        <v>994</v>
      </c>
      <c r="O209" s="244">
        <f t="shared" si="161"/>
        <v>1.8792120392078498E-4</v>
      </c>
      <c r="P209" s="379">
        <v>1214</v>
      </c>
      <c r="Q209" s="244">
        <f t="shared" si="162"/>
        <v>2.4973175435940307E-4</v>
      </c>
      <c r="R209" s="427">
        <v>1350</v>
      </c>
      <c r="S209" s="428">
        <f t="shared" si="163"/>
        <v>2.5056939575097411E-4</v>
      </c>
      <c r="T209" s="570">
        <v>450</v>
      </c>
      <c r="U209" s="505">
        <f t="shared" si="164"/>
        <v>9.9827055172860534E-5</v>
      </c>
      <c r="V209" s="243">
        <v>1250</v>
      </c>
      <c r="W209" s="505">
        <f t="shared" si="165"/>
        <v>2.3584905660377359E-4</v>
      </c>
      <c r="X209" s="427">
        <v>500</v>
      </c>
      <c r="Y209" s="428">
        <f t="shared" si="166"/>
        <v>9.4339622641509429E-5</v>
      </c>
      <c r="Z209" s="520">
        <f t="shared" si="167"/>
        <v>-0.6</v>
      </c>
      <c r="AA209" s="573">
        <f t="shared" si="170"/>
        <v>510</v>
      </c>
      <c r="AB209" s="505">
        <f t="shared" si="168"/>
        <v>9.2727272727272727E-5</v>
      </c>
      <c r="AC209" s="529">
        <f t="shared" si="153"/>
        <v>0.02</v>
      </c>
      <c r="AD209" s="427">
        <f t="shared" si="171"/>
        <v>520</v>
      </c>
      <c r="AE209" s="428">
        <f t="shared" si="169"/>
        <v>8.9655172413793103E-5</v>
      </c>
      <c r="AF209" s="520">
        <f t="shared" si="154"/>
        <v>1.9599999999999999E-2</v>
      </c>
    </row>
    <row r="210" spans="1:32" ht="18" hidden="1" customHeight="1" x14ac:dyDescent="0.25">
      <c r="A210" s="101">
        <v>6</v>
      </c>
      <c r="B210" s="104" t="s">
        <v>156</v>
      </c>
      <c r="C210" s="75" t="s">
        <v>224</v>
      </c>
      <c r="D210" s="53">
        <v>7975</v>
      </c>
      <c r="E210" s="54">
        <f t="shared" si="156"/>
        <v>1.5149978019519039E-3</v>
      </c>
      <c r="F210" s="165">
        <v>5745</v>
      </c>
      <c r="G210" s="164">
        <f t="shared" si="157"/>
        <v>1.1237979323291724E-3</v>
      </c>
      <c r="H210" s="125">
        <v>3653</v>
      </c>
      <c r="I210" s="54">
        <f t="shared" si="158"/>
        <v>6.6966073883396177E-4</v>
      </c>
      <c r="J210" s="165">
        <v>4245</v>
      </c>
      <c r="K210" s="164">
        <f t="shared" si="159"/>
        <v>7.5965391277240388E-4</v>
      </c>
      <c r="L210" s="329">
        <v>7375</v>
      </c>
      <c r="M210" s="211">
        <f t="shared" si="160"/>
        <v>1.4372564946454156E-3</v>
      </c>
      <c r="N210" s="243">
        <v>7437</v>
      </c>
      <c r="O210" s="244">
        <f t="shared" si="161"/>
        <v>1.4060060297373016E-3</v>
      </c>
      <c r="P210" s="379">
        <v>8153</v>
      </c>
      <c r="Q210" s="244">
        <f t="shared" si="162"/>
        <v>1.6771523832720043E-3</v>
      </c>
      <c r="R210" s="427">
        <v>7248</v>
      </c>
      <c r="S210" s="428">
        <f t="shared" si="163"/>
        <v>1.3452792447430078E-3</v>
      </c>
      <c r="T210" s="570">
        <v>5616</v>
      </c>
      <c r="U210" s="505">
        <f t="shared" si="164"/>
        <v>1.2458416485572994E-3</v>
      </c>
      <c r="V210" s="243">
        <v>7490</v>
      </c>
      <c r="W210" s="505">
        <f t="shared" si="165"/>
        <v>1.4132075471698113E-3</v>
      </c>
      <c r="X210" s="427">
        <v>7560</v>
      </c>
      <c r="Y210" s="428">
        <f t="shared" si="166"/>
        <v>1.4264150943396226E-3</v>
      </c>
      <c r="Z210" s="520">
        <f t="shared" si="167"/>
        <v>9.2999999999999992E-3</v>
      </c>
      <c r="AA210" s="379">
        <v>7775</v>
      </c>
      <c r="AB210" s="505">
        <f t="shared" si="168"/>
        <v>1.4136363636363637E-3</v>
      </c>
      <c r="AC210" s="529">
        <f t="shared" si="153"/>
        <v>2.8400000000000002E-2</v>
      </c>
      <c r="AD210" s="427">
        <v>8370</v>
      </c>
      <c r="AE210" s="428">
        <f t="shared" si="169"/>
        <v>1.443103448275862E-3</v>
      </c>
      <c r="AF210" s="520">
        <f t="shared" si="154"/>
        <v>7.6499999999999999E-2</v>
      </c>
    </row>
    <row r="211" spans="1:32" ht="18" hidden="1" customHeight="1" x14ac:dyDescent="0.25">
      <c r="A211" s="101">
        <v>7</v>
      </c>
      <c r="B211" s="104" t="s">
        <v>157</v>
      </c>
      <c r="C211" s="75" t="s">
        <v>5</v>
      </c>
      <c r="D211" s="53">
        <v>7889</v>
      </c>
      <c r="E211" s="54">
        <f t="shared" si="156"/>
        <v>1.4986605215797579E-3</v>
      </c>
      <c r="F211" s="165">
        <v>7942</v>
      </c>
      <c r="G211" s="164">
        <f t="shared" si="157"/>
        <v>1.5535601703321649E-3</v>
      </c>
      <c r="H211" s="125">
        <v>8292</v>
      </c>
      <c r="I211" s="54">
        <f t="shared" si="158"/>
        <v>1.520073048565894E-3</v>
      </c>
      <c r="J211" s="165">
        <v>8461</v>
      </c>
      <c r="K211" s="164">
        <f t="shared" si="159"/>
        <v>1.5141181992855853E-3</v>
      </c>
      <c r="L211" s="329">
        <v>8618</v>
      </c>
      <c r="M211" s="211">
        <f t="shared" si="160"/>
        <v>1.679495114692094E-3</v>
      </c>
      <c r="N211" s="243">
        <v>6302</v>
      </c>
      <c r="O211" s="244">
        <f t="shared" si="161"/>
        <v>1.1914279950792624E-3</v>
      </c>
      <c r="P211" s="379">
        <v>6605</v>
      </c>
      <c r="Q211" s="244">
        <f t="shared" si="162"/>
        <v>1.3587135399867028E-3</v>
      </c>
      <c r="R211" s="427">
        <v>5707</v>
      </c>
      <c r="S211" s="428">
        <f t="shared" si="163"/>
        <v>1.0592589196672662E-3</v>
      </c>
      <c r="T211" s="570">
        <v>3915</v>
      </c>
      <c r="U211" s="505">
        <f t="shared" si="164"/>
        <v>8.6849538000388659E-4</v>
      </c>
      <c r="V211" s="246">
        <v>5320</v>
      </c>
      <c r="W211" s="505">
        <f t="shared" si="165"/>
        <v>1.0037735849056603E-3</v>
      </c>
      <c r="X211" s="427">
        <v>5755</v>
      </c>
      <c r="Y211" s="428">
        <f t="shared" si="166"/>
        <v>1.0858490566037736E-3</v>
      </c>
      <c r="Z211" s="520">
        <f t="shared" si="167"/>
        <v>8.1799999999999998E-2</v>
      </c>
      <c r="AA211" s="379">
        <v>5755</v>
      </c>
      <c r="AB211" s="505">
        <f t="shared" si="168"/>
        <v>1.0463636363636363E-3</v>
      </c>
      <c r="AC211" s="529">
        <f t="shared" si="153"/>
        <v>0</v>
      </c>
      <c r="AD211" s="427">
        <v>5970</v>
      </c>
      <c r="AE211" s="428">
        <f t="shared" si="169"/>
        <v>1.0293103448275863E-3</v>
      </c>
      <c r="AF211" s="520">
        <f t="shared" si="154"/>
        <v>3.7400000000000003E-2</v>
      </c>
    </row>
    <row r="212" spans="1:32" ht="18" hidden="1" customHeight="1" x14ac:dyDescent="0.25">
      <c r="A212" s="101">
        <v>8</v>
      </c>
      <c r="B212" s="104" t="s">
        <v>158</v>
      </c>
      <c r="C212" s="76" t="s">
        <v>225</v>
      </c>
      <c r="D212" s="55">
        <v>4512</v>
      </c>
      <c r="E212" s="56">
        <f t="shared" si="156"/>
        <v>8.5713731440840003E-4</v>
      </c>
      <c r="F212" s="166">
        <v>5640</v>
      </c>
      <c r="G212" s="167">
        <f t="shared" si="157"/>
        <v>1.1032585445320336E-3</v>
      </c>
      <c r="H212" s="126">
        <v>5865</v>
      </c>
      <c r="I212" s="56">
        <f t="shared" si="158"/>
        <v>1.0751602062034453E-3</v>
      </c>
      <c r="J212" s="166">
        <v>6696</v>
      </c>
      <c r="K212" s="167">
        <f t="shared" si="159"/>
        <v>1.1982668079915234E-3</v>
      </c>
      <c r="L212" s="331">
        <v>6862</v>
      </c>
      <c r="M212" s="212">
        <f t="shared" si="160"/>
        <v>1.3372819072890634E-3</v>
      </c>
      <c r="N212" s="246">
        <v>5722</v>
      </c>
      <c r="O212" s="247">
        <f t="shared" si="161"/>
        <v>1.0817757835359474E-3</v>
      </c>
      <c r="P212" s="381">
        <v>5862</v>
      </c>
      <c r="Q212" s="247">
        <f t="shared" si="162"/>
        <v>1.2058711236036415E-3</v>
      </c>
      <c r="R212" s="430">
        <v>6535</v>
      </c>
      <c r="S212" s="431">
        <f t="shared" si="163"/>
        <v>1.2129414823945303E-3</v>
      </c>
      <c r="T212" s="571">
        <v>5176</v>
      </c>
      <c r="U212" s="506">
        <f t="shared" si="164"/>
        <v>1.1482329723882803E-3</v>
      </c>
      <c r="V212" s="246">
        <v>6900</v>
      </c>
      <c r="W212" s="506">
        <f t="shared" si="165"/>
        <v>1.3018867924528303E-3</v>
      </c>
      <c r="X212" s="430">
        <v>6935</v>
      </c>
      <c r="Y212" s="431">
        <f t="shared" si="166"/>
        <v>1.3084905660377358E-3</v>
      </c>
      <c r="Z212" s="521">
        <f t="shared" si="167"/>
        <v>5.1000000000000004E-3</v>
      </c>
      <c r="AA212" s="381">
        <v>7295</v>
      </c>
      <c r="AB212" s="506">
        <f t="shared" si="168"/>
        <v>1.3263636363636364E-3</v>
      </c>
      <c r="AC212" s="529">
        <f t="shared" si="153"/>
        <v>5.1900000000000002E-2</v>
      </c>
      <c r="AD212" s="430">
        <v>7660</v>
      </c>
      <c r="AE212" s="431">
        <f t="shared" si="169"/>
        <v>1.3206896551724138E-3</v>
      </c>
      <c r="AF212" s="520">
        <f t="shared" si="154"/>
        <v>0.05</v>
      </c>
    </row>
    <row r="213" spans="1:32" ht="17.25" hidden="1" customHeight="1" thickBot="1" x14ac:dyDescent="0.3">
      <c r="A213" s="97"/>
      <c r="B213" s="98"/>
      <c r="C213" s="82" t="s">
        <v>226</v>
      </c>
      <c r="D213" s="37">
        <f>SUM(D205:D212)</f>
        <v>141017</v>
      </c>
      <c r="E213" s="38">
        <f>D213/D$12</f>
        <v>2.6788770537661644E-2</v>
      </c>
      <c r="F213" s="179">
        <f>SUM(F205:F212)</f>
        <v>138229</v>
      </c>
      <c r="G213" s="180">
        <f>F213/F$12</f>
        <v>2.7039419388673488E-2</v>
      </c>
      <c r="H213" s="133">
        <f>SUM(H205:H212)</f>
        <v>146946</v>
      </c>
      <c r="I213" s="38">
        <f>H213/H$12</f>
        <v>2.6937850240540743E-2</v>
      </c>
      <c r="J213" s="179">
        <f>SUM(J205:J212)</f>
        <v>148123</v>
      </c>
      <c r="K213" s="180">
        <f>J213/J$12</f>
        <v>2.6507000358442116E-2</v>
      </c>
      <c r="L213" s="339">
        <f>SUM(L205:L212)</f>
        <v>154765</v>
      </c>
      <c r="M213" s="219">
        <f>L213/L$12</f>
        <v>3.0160949341531899E-2</v>
      </c>
      <c r="N213" s="263">
        <f>SUM(N205:N212)</f>
        <v>119132</v>
      </c>
      <c r="O213" s="264">
        <f t="shared" si="161"/>
        <v>2.2522564250996937E-2</v>
      </c>
      <c r="P213" s="395">
        <f>SUM(P205:P212)</f>
        <v>124792</v>
      </c>
      <c r="Q213" s="264">
        <f t="shared" si="162"/>
        <v>2.5670943237247636E-2</v>
      </c>
      <c r="R213" s="447">
        <f>SUM(R205:R212)</f>
        <v>100167</v>
      </c>
      <c r="S213" s="448">
        <f t="shared" si="163"/>
        <v>1.8591692343842833E-2</v>
      </c>
      <c r="T213" s="395">
        <f>SUM(T205:T212)</f>
        <v>74065</v>
      </c>
      <c r="U213" s="514">
        <f t="shared" si="164"/>
        <v>1.6430424091950922E-2</v>
      </c>
      <c r="V213" s="263">
        <f>SUM(V205:V212)</f>
        <v>98255</v>
      </c>
      <c r="W213" s="514">
        <f t="shared" si="165"/>
        <v>1.8538679245283018E-2</v>
      </c>
      <c r="X213" s="447">
        <f>SUM(X205:X212)</f>
        <v>100495</v>
      </c>
      <c r="Y213" s="448">
        <f t="shared" si="166"/>
        <v>1.896132075471698E-2</v>
      </c>
      <c r="Z213" s="524">
        <f t="shared" si="167"/>
        <v>2.2800000000000001E-2</v>
      </c>
      <c r="AA213" s="395">
        <f>SUM(AA205:AA212)</f>
        <v>101190</v>
      </c>
      <c r="AB213" s="514">
        <f t="shared" si="168"/>
        <v>1.8398181818181817E-2</v>
      </c>
      <c r="AC213" s="533">
        <f t="shared" si="153"/>
        <v>6.8999999999999999E-3</v>
      </c>
      <c r="AD213" s="447">
        <f>SUM(AD205:AD212)</f>
        <v>105265</v>
      </c>
      <c r="AE213" s="448">
        <f t="shared" si="169"/>
        <v>1.8149137931034481E-2</v>
      </c>
      <c r="AF213" s="524">
        <f t="shared" si="154"/>
        <v>4.0300000000000002E-2</v>
      </c>
    </row>
    <row r="214" spans="1:32" ht="17.25" hidden="1" customHeight="1" thickTop="1" x14ac:dyDescent="0.25">
      <c r="A214" s="97"/>
      <c r="B214" s="98"/>
      <c r="C214" s="73"/>
      <c r="D214" s="28"/>
      <c r="E214" s="31"/>
      <c r="F214" s="159"/>
      <c r="G214" s="169"/>
      <c r="H214" s="122"/>
      <c r="I214" s="31"/>
      <c r="J214" s="159"/>
      <c r="K214" s="169"/>
      <c r="L214" s="328"/>
      <c r="M214" s="214"/>
      <c r="N214" s="241"/>
      <c r="O214" s="249"/>
      <c r="P214" s="378"/>
      <c r="Q214" s="249"/>
      <c r="R214" s="425"/>
      <c r="S214" s="433"/>
      <c r="T214" s="378"/>
      <c r="U214" s="508"/>
      <c r="V214" s="241"/>
      <c r="W214" s="508"/>
      <c r="X214" s="425"/>
      <c r="Y214" s="433"/>
      <c r="Z214" s="433"/>
      <c r="AA214" s="378"/>
      <c r="AB214" s="508"/>
      <c r="AC214" s="530"/>
      <c r="AD214" s="425"/>
      <c r="AE214" s="433"/>
      <c r="AF214" s="523"/>
    </row>
    <row r="215" spans="1:32" ht="18" hidden="1" customHeight="1" x14ac:dyDescent="0.25">
      <c r="A215" s="97"/>
      <c r="B215" s="98"/>
      <c r="C215" s="73" t="s">
        <v>355</v>
      </c>
      <c r="D215" s="28"/>
      <c r="E215" s="29"/>
      <c r="F215" s="159"/>
      <c r="G215" s="160"/>
      <c r="H215" s="122"/>
      <c r="I215" s="29"/>
      <c r="J215" s="159"/>
      <c r="K215" s="160"/>
      <c r="L215" s="328"/>
      <c r="M215" s="209"/>
      <c r="N215" s="241"/>
      <c r="O215" s="242"/>
      <c r="P215" s="378"/>
      <c r="Q215" s="242"/>
      <c r="R215" s="425"/>
      <c r="S215" s="426"/>
      <c r="T215" s="378"/>
      <c r="U215" s="504"/>
      <c r="V215" s="241"/>
      <c r="W215" s="504"/>
      <c r="X215" s="425"/>
      <c r="Y215" s="426"/>
      <c r="Z215" s="426"/>
      <c r="AA215" s="378"/>
      <c r="AB215" s="504"/>
      <c r="AC215" s="532"/>
      <c r="AD215" s="425"/>
      <c r="AE215" s="426"/>
      <c r="AF215" s="528"/>
    </row>
    <row r="216" spans="1:32" ht="18" hidden="1" customHeight="1" x14ac:dyDescent="0.25">
      <c r="A216" s="97"/>
      <c r="B216" s="98"/>
      <c r="C216" s="75" t="s">
        <v>214</v>
      </c>
      <c r="D216" s="106">
        <v>3</v>
      </c>
      <c r="E216" s="109"/>
      <c r="F216" s="177">
        <v>3</v>
      </c>
      <c r="G216" s="184"/>
      <c r="H216" s="132">
        <v>3</v>
      </c>
      <c r="I216" s="109"/>
      <c r="J216" s="177">
        <v>3</v>
      </c>
      <c r="K216" s="184"/>
      <c r="L216" s="338">
        <v>3</v>
      </c>
      <c r="M216" s="221"/>
      <c r="N216" s="261">
        <v>2.88</v>
      </c>
      <c r="O216" s="268"/>
      <c r="P216" s="394">
        <v>2.88</v>
      </c>
      <c r="Q216" s="268"/>
      <c r="R216" s="445">
        <v>2.88</v>
      </c>
      <c r="S216" s="453"/>
      <c r="T216" s="394">
        <v>2.88</v>
      </c>
      <c r="U216" s="516"/>
      <c r="V216" s="261">
        <v>2.88</v>
      </c>
      <c r="W216" s="516"/>
      <c r="X216" s="445">
        <v>3</v>
      </c>
      <c r="Y216" s="453"/>
      <c r="Z216" s="453"/>
      <c r="AA216" s="394">
        <v>3</v>
      </c>
      <c r="AB216" s="516"/>
      <c r="AC216" s="529">
        <f t="shared" si="153"/>
        <v>0</v>
      </c>
      <c r="AD216" s="445">
        <v>3</v>
      </c>
      <c r="AE216" s="453"/>
      <c r="AF216" s="520">
        <f t="shared" si="154"/>
        <v>0</v>
      </c>
    </row>
    <row r="217" spans="1:32" ht="18" hidden="1" customHeight="1" x14ac:dyDescent="0.25">
      <c r="A217" s="101">
        <v>1</v>
      </c>
      <c r="B217" s="104" t="s">
        <v>161</v>
      </c>
      <c r="C217" s="75" t="s">
        <v>215</v>
      </c>
      <c r="D217" s="53">
        <v>128279</v>
      </c>
      <c r="E217" s="54">
        <f>D217/D$12</f>
        <v>2.4368953358819844E-2</v>
      </c>
      <c r="F217" s="165">
        <v>134558</v>
      </c>
      <c r="G217" s="164">
        <f>F217/F$12</f>
        <v>2.6321323268642085E-2</v>
      </c>
      <c r="H217" s="125">
        <v>137980</v>
      </c>
      <c r="I217" s="54">
        <f>H217/H$12</f>
        <v>2.5294220844322486E-2</v>
      </c>
      <c r="J217" s="165">
        <v>142635</v>
      </c>
      <c r="K217" s="164">
        <f>J217/J$12</f>
        <v>2.5524908327041657E-2</v>
      </c>
      <c r="L217" s="329">
        <v>147477</v>
      </c>
      <c r="M217" s="211">
        <f>L217/L$12</f>
        <v>2.8740647601467384E-2</v>
      </c>
      <c r="N217" s="243">
        <v>140243</v>
      </c>
      <c r="O217" s="244">
        <f t="shared" ref="O217:O234" si="172">N217/N$12</f>
        <v>2.6513715695636465E-2</v>
      </c>
      <c r="P217" s="379">
        <v>144590</v>
      </c>
      <c r="Q217" s="244">
        <f t="shared" ref="Q217:Q234" si="173">P217/P$12</f>
        <v>2.9743586789807323E-2</v>
      </c>
      <c r="R217" s="427">
        <v>135299</v>
      </c>
      <c r="S217" s="428">
        <f t="shared" ref="S217:S223" si="174">R217/R$12</f>
        <v>2.5112436056082255E-2</v>
      </c>
      <c r="T217" s="573">
        <v>108404</v>
      </c>
      <c r="U217" s="505">
        <f t="shared" ref="U217:U234" si="175">T217/T$12</f>
        <v>2.4048115753241717E-2</v>
      </c>
      <c r="V217" s="243">
        <v>143535</v>
      </c>
      <c r="W217" s="505">
        <f t="shared" ref="W217:W234" si="176">V217/V$12</f>
        <v>2.7082075471698112E-2</v>
      </c>
      <c r="X217" s="427">
        <v>137780</v>
      </c>
      <c r="Y217" s="428">
        <f t="shared" ref="Y217:Y234" si="177">X217/X$12</f>
        <v>2.5996226415094338E-2</v>
      </c>
      <c r="Z217" s="520">
        <f t="shared" ref="Z217:Z234" si="178">ROUND((X217-V217)/V217,4)</f>
        <v>-4.0099999999999997E-2</v>
      </c>
      <c r="AA217" s="379">
        <v>140535</v>
      </c>
      <c r="AB217" s="505">
        <f t="shared" ref="AB217:AB234" si="179">AA217/AA$12</f>
        <v>2.5551818181818182E-2</v>
      </c>
      <c r="AC217" s="529">
        <f t="shared" si="153"/>
        <v>0.02</v>
      </c>
      <c r="AD217" s="427">
        <v>144055</v>
      </c>
      <c r="AE217" s="428">
        <f t="shared" ref="AE217:AE234" si="180">AD217/AD$12</f>
        <v>2.4837068965517243E-2</v>
      </c>
      <c r="AF217" s="520">
        <f t="shared" si="154"/>
        <v>2.5000000000000001E-2</v>
      </c>
    </row>
    <row r="218" spans="1:32" ht="18" hidden="1" customHeight="1" x14ac:dyDescent="0.25">
      <c r="A218" s="101">
        <v>2</v>
      </c>
      <c r="B218" s="104" t="s">
        <v>9</v>
      </c>
      <c r="C218" s="75" t="s">
        <v>359</v>
      </c>
      <c r="D218" s="53">
        <v>0</v>
      </c>
      <c r="E218" s="54">
        <f>D218/D$12</f>
        <v>0</v>
      </c>
      <c r="F218" s="165">
        <v>0</v>
      </c>
      <c r="G218" s="164">
        <f>F218/F$12</f>
        <v>0</v>
      </c>
      <c r="H218" s="125">
        <v>19861</v>
      </c>
      <c r="I218" s="54">
        <f>H218/H$12</f>
        <v>3.6408792592338662E-3</v>
      </c>
      <c r="J218" s="165">
        <v>21800</v>
      </c>
      <c r="K218" s="164">
        <f>J218/J$12</f>
        <v>3.9011673258983288E-3</v>
      </c>
      <c r="L218" s="329">
        <v>3914</v>
      </c>
      <c r="M218" s="211">
        <f>L218/L$12</f>
        <v>7.627690739040213E-4</v>
      </c>
      <c r="N218" s="243">
        <v>9788</v>
      </c>
      <c r="O218" s="244">
        <f t="shared" si="172"/>
        <v>1.8504755975620154E-3</v>
      </c>
      <c r="P218" s="379">
        <v>11856</v>
      </c>
      <c r="Q218" s="244">
        <f t="shared" si="173"/>
        <v>2.4388959470223086E-3</v>
      </c>
      <c r="R218" s="427">
        <v>9396</v>
      </c>
      <c r="S218" s="428">
        <f t="shared" si="174"/>
        <v>1.7439629944267798E-3</v>
      </c>
      <c r="T218" s="573">
        <v>17013</v>
      </c>
      <c r="U218" s="505">
        <f t="shared" si="175"/>
        <v>3.7741281992352805E-3</v>
      </c>
      <c r="V218" s="243">
        <v>20000</v>
      </c>
      <c r="W218" s="505">
        <f t="shared" si="176"/>
        <v>3.7735849056603774E-3</v>
      </c>
      <c r="X218" s="427">
        <v>35000</v>
      </c>
      <c r="Y218" s="428">
        <f t="shared" si="177"/>
        <v>6.6037735849056606E-3</v>
      </c>
      <c r="Z218" s="520">
        <f t="shared" si="178"/>
        <v>0.75</v>
      </c>
      <c r="AA218" s="573">
        <f t="shared" ref="AA218:AA220" si="181">ROUND(X218*$AH$1,-1)</f>
        <v>35880</v>
      </c>
      <c r="AB218" s="505">
        <f t="shared" si="179"/>
        <v>6.5236363636363634E-3</v>
      </c>
      <c r="AC218" s="529">
        <f t="shared" si="153"/>
        <v>2.5100000000000001E-2</v>
      </c>
      <c r="AD218" s="427">
        <f t="shared" ref="AD218:AD220" si="182">ROUND(AA218*$AH$1,-1)</f>
        <v>36780</v>
      </c>
      <c r="AE218" s="428">
        <f t="shared" si="180"/>
        <v>6.3413793103448274E-3</v>
      </c>
      <c r="AF218" s="520">
        <f t="shared" si="154"/>
        <v>2.5100000000000001E-2</v>
      </c>
    </row>
    <row r="219" spans="1:32" ht="18" hidden="1" customHeight="1" x14ac:dyDescent="0.25">
      <c r="A219" s="101">
        <v>3</v>
      </c>
      <c r="B219" s="104"/>
      <c r="C219" s="75" t="s">
        <v>264</v>
      </c>
      <c r="D219" s="53"/>
      <c r="E219" s="54"/>
      <c r="F219" s="165"/>
      <c r="G219" s="164"/>
      <c r="H219" s="125"/>
      <c r="I219" s="54"/>
      <c r="J219" s="165"/>
      <c r="K219" s="164"/>
      <c r="L219" s="329"/>
      <c r="M219" s="211"/>
      <c r="N219" s="243">
        <v>240</v>
      </c>
      <c r="O219" s="244">
        <f t="shared" si="172"/>
        <v>4.5373328914475247E-5</v>
      </c>
      <c r="P219" s="379">
        <v>0</v>
      </c>
      <c r="Q219" s="244">
        <f t="shared" si="173"/>
        <v>0</v>
      </c>
      <c r="R219" s="427">
        <v>0</v>
      </c>
      <c r="S219" s="428">
        <f t="shared" si="174"/>
        <v>0</v>
      </c>
      <c r="T219" s="573">
        <v>0</v>
      </c>
      <c r="U219" s="505">
        <f t="shared" si="175"/>
        <v>0</v>
      </c>
      <c r="V219" s="243">
        <v>0</v>
      </c>
      <c r="W219" s="505">
        <f t="shared" si="176"/>
        <v>0</v>
      </c>
      <c r="X219" s="427">
        <f t="shared" ref="X219:X229" si="183">V219*$AH$1</f>
        <v>0</v>
      </c>
      <c r="Y219" s="428">
        <f t="shared" si="177"/>
        <v>0</v>
      </c>
      <c r="Z219" s="520" t="e">
        <f t="shared" si="178"/>
        <v>#DIV/0!</v>
      </c>
      <c r="AA219" s="573">
        <f t="shared" si="181"/>
        <v>0</v>
      </c>
      <c r="AB219" s="505">
        <f t="shared" si="179"/>
        <v>0</v>
      </c>
      <c r="AC219" s="529" t="e">
        <f t="shared" si="153"/>
        <v>#DIV/0!</v>
      </c>
      <c r="AD219" s="427">
        <f t="shared" si="182"/>
        <v>0</v>
      </c>
      <c r="AE219" s="428">
        <f t="shared" si="180"/>
        <v>0</v>
      </c>
      <c r="AF219" s="520" t="e">
        <f t="shared" si="154"/>
        <v>#DIV/0!</v>
      </c>
    </row>
    <row r="220" spans="1:32" ht="18" hidden="1" customHeight="1" x14ac:dyDescent="0.25">
      <c r="A220" s="101">
        <v>3</v>
      </c>
      <c r="B220" s="104" t="s">
        <v>8</v>
      </c>
      <c r="C220" s="75" t="s">
        <v>360</v>
      </c>
      <c r="D220" s="53">
        <f>1915+44+1039</f>
        <v>2998</v>
      </c>
      <c r="E220" s="54">
        <f>D220/D$12</f>
        <v>5.6952519250806361E-4</v>
      </c>
      <c r="F220" s="165">
        <f>2031+152+345</f>
        <v>2528</v>
      </c>
      <c r="G220" s="164">
        <f>F220/F$12</f>
        <v>4.9451021286825902E-4</v>
      </c>
      <c r="H220" s="125">
        <f>3090+690+750</f>
        <v>4530</v>
      </c>
      <c r="I220" s="54">
        <f>H220/H$12</f>
        <v>8.30430645200615E-4</v>
      </c>
      <c r="J220" s="165">
        <v>807</v>
      </c>
      <c r="K220" s="164">
        <f>J220/J$12</f>
        <v>1.444147721100895E-4</v>
      </c>
      <c r="L220" s="329">
        <v>1789</v>
      </c>
      <c r="M220" s="211">
        <f>L220/L$12</f>
        <v>3.486443212095795E-4</v>
      </c>
      <c r="N220" s="243">
        <v>9630</v>
      </c>
      <c r="O220" s="244">
        <f t="shared" si="172"/>
        <v>1.8206048226933193E-3</v>
      </c>
      <c r="P220" s="379">
        <v>3698</v>
      </c>
      <c r="Q220" s="244">
        <f t="shared" si="173"/>
        <v>7.6071501451488682E-4</v>
      </c>
      <c r="R220" s="427">
        <v>7692</v>
      </c>
      <c r="S220" s="428">
        <f t="shared" si="174"/>
        <v>1.4276887349011058E-3</v>
      </c>
      <c r="T220" s="573">
        <v>14834</v>
      </c>
      <c r="U220" s="505">
        <f t="shared" si="175"/>
        <v>3.2907434142982511E-3</v>
      </c>
      <c r="V220" s="243">
        <v>16500</v>
      </c>
      <c r="W220" s="505">
        <f t="shared" si="176"/>
        <v>3.1132075471698114E-3</v>
      </c>
      <c r="X220" s="427">
        <v>12495</v>
      </c>
      <c r="Y220" s="428">
        <f t="shared" si="177"/>
        <v>2.3575471698113206E-3</v>
      </c>
      <c r="Z220" s="520">
        <f t="shared" si="178"/>
        <v>-0.2427</v>
      </c>
      <c r="AA220" s="573">
        <f t="shared" si="181"/>
        <v>12810</v>
      </c>
      <c r="AB220" s="505">
        <f t="shared" si="179"/>
        <v>2.3290909090909091E-3</v>
      </c>
      <c r="AC220" s="529">
        <f t="shared" si="153"/>
        <v>2.52E-2</v>
      </c>
      <c r="AD220" s="427">
        <f t="shared" si="182"/>
        <v>13130</v>
      </c>
      <c r="AE220" s="428">
        <f t="shared" si="180"/>
        <v>2.263793103448276E-3</v>
      </c>
      <c r="AF220" s="520">
        <f t="shared" si="154"/>
        <v>2.5000000000000001E-2</v>
      </c>
    </row>
    <row r="221" spans="1:32" ht="18" hidden="1" customHeight="1" x14ac:dyDescent="0.25">
      <c r="A221" s="101">
        <v>4</v>
      </c>
      <c r="B221" s="104"/>
      <c r="C221" s="75" t="s">
        <v>361</v>
      </c>
      <c r="D221" s="53"/>
      <c r="E221" s="54"/>
      <c r="F221" s="165"/>
      <c r="G221" s="164"/>
      <c r="H221" s="125"/>
      <c r="I221" s="54"/>
      <c r="J221" s="165"/>
      <c r="K221" s="164">
        <f>J221/J$12</f>
        <v>0</v>
      </c>
      <c r="L221" s="329"/>
      <c r="M221" s="211">
        <f>L221/L$12</f>
        <v>0</v>
      </c>
      <c r="N221" s="243">
        <v>81888</v>
      </c>
      <c r="O221" s="244">
        <f t="shared" si="172"/>
        <v>1.5481379825618953E-2</v>
      </c>
      <c r="P221" s="379">
        <v>16032</v>
      </c>
      <c r="Q221" s="244">
        <f t="shared" si="173"/>
        <v>3.297940268443122E-3</v>
      </c>
      <c r="R221" s="427">
        <v>48563</v>
      </c>
      <c r="S221" s="428">
        <f t="shared" si="174"/>
        <v>9.0136307895218939E-3</v>
      </c>
      <c r="T221" s="573">
        <v>84919</v>
      </c>
      <c r="U221" s="505">
        <f t="shared" si="175"/>
        <v>1.8838252662720319E-2</v>
      </c>
      <c r="V221" s="243">
        <v>90000</v>
      </c>
      <c r="W221" s="505">
        <f t="shared" si="176"/>
        <v>1.6981132075471698E-2</v>
      </c>
      <c r="X221" s="427">
        <v>43700</v>
      </c>
      <c r="Y221" s="428">
        <f t="shared" si="177"/>
        <v>8.2452830188679237E-3</v>
      </c>
      <c r="Z221" s="520">
        <f t="shared" si="178"/>
        <v>-0.51439999999999997</v>
      </c>
      <c r="AA221" s="379">
        <v>39500</v>
      </c>
      <c r="AB221" s="505">
        <f t="shared" si="179"/>
        <v>7.1818181818181816E-3</v>
      </c>
      <c r="AC221" s="529">
        <f t="shared" si="153"/>
        <v>-9.6100000000000005E-2</v>
      </c>
      <c r="AD221" s="427">
        <v>25000</v>
      </c>
      <c r="AE221" s="428">
        <f t="shared" si="180"/>
        <v>4.3103448275862068E-3</v>
      </c>
      <c r="AF221" s="520">
        <f t="shared" si="154"/>
        <v>-0.36709999999999998</v>
      </c>
    </row>
    <row r="222" spans="1:32" ht="18" hidden="1" customHeight="1" x14ac:dyDescent="0.25">
      <c r="A222" s="101">
        <v>5</v>
      </c>
      <c r="B222" s="104"/>
      <c r="C222" s="75" t="s">
        <v>31</v>
      </c>
      <c r="D222" s="53"/>
      <c r="E222" s="54"/>
      <c r="F222" s="165"/>
      <c r="G222" s="164"/>
      <c r="H222" s="125"/>
      <c r="I222" s="54"/>
      <c r="J222" s="165"/>
      <c r="K222" s="164">
        <f>J222/J$12</f>
        <v>0</v>
      </c>
      <c r="L222" s="329"/>
      <c r="M222" s="211">
        <f>L222/L$12</f>
        <v>0</v>
      </c>
      <c r="N222" s="243">
        <v>5269</v>
      </c>
      <c r="O222" s="244">
        <f t="shared" si="172"/>
        <v>9.9613362520987537E-4</v>
      </c>
      <c r="P222" s="379">
        <v>20000</v>
      </c>
      <c r="Q222" s="244">
        <f t="shared" si="173"/>
        <v>4.1141969416705615E-3</v>
      </c>
      <c r="R222" s="427">
        <v>107557</v>
      </c>
      <c r="S222" s="428">
        <f t="shared" si="174"/>
        <v>1.9963327776879647E-2</v>
      </c>
      <c r="T222" s="573">
        <v>79353</v>
      </c>
      <c r="U222" s="505">
        <f t="shared" si="175"/>
        <v>1.7603502909182226E-2</v>
      </c>
      <c r="V222" s="243">
        <v>105755</v>
      </c>
      <c r="W222" s="505">
        <f t="shared" si="176"/>
        <v>1.995377358490566E-2</v>
      </c>
      <c r="X222" s="427">
        <v>104850</v>
      </c>
      <c r="Y222" s="428">
        <f t="shared" si="177"/>
        <v>1.9783018867924527E-2</v>
      </c>
      <c r="Z222" s="520">
        <f t="shared" si="178"/>
        <v>-8.6E-3</v>
      </c>
      <c r="AA222" s="379">
        <v>48250</v>
      </c>
      <c r="AB222" s="505">
        <f t="shared" si="179"/>
        <v>8.7727272727272723E-3</v>
      </c>
      <c r="AC222" s="529">
        <f t="shared" si="153"/>
        <v>-0.53979999999999995</v>
      </c>
      <c r="AD222" s="427">
        <v>30375</v>
      </c>
      <c r="AE222" s="428">
        <f t="shared" si="180"/>
        <v>5.2370689655172418E-3</v>
      </c>
      <c r="AF222" s="520">
        <f t="shared" si="154"/>
        <v>-0.3705</v>
      </c>
    </row>
    <row r="223" spans="1:32" ht="18" hidden="1" customHeight="1" x14ac:dyDescent="0.25">
      <c r="A223" s="101">
        <v>7</v>
      </c>
      <c r="B223" s="104" t="s">
        <v>162</v>
      </c>
      <c r="C223" s="75" t="s">
        <v>356</v>
      </c>
      <c r="D223" s="53">
        <v>2884</v>
      </c>
      <c r="E223" s="54">
        <f>D223/D$12</f>
        <v>5.4786879759614925E-4</v>
      </c>
      <c r="F223" s="165">
        <v>1508</v>
      </c>
      <c r="G223" s="164">
        <f>F223/F$12</f>
        <v>2.9498473141033804E-4</v>
      </c>
      <c r="H223" s="125">
        <v>3371</v>
      </c>
      <c r="I223" s="54">
        <f>H223/H$12</f>
        <v>6.1796505628504926E-4</v>
      </c>
      <c r="J223" s="165">
        <v>3091</v>
      </c>
      <c r="K223" s="164">
        <f>J223/J$12</f>
        <v>5.5314257818127224E-4</v>
      </c>
      <c r="L223" s="329">
        <v>666</v>
      </c>
      <c r="M223" s="211">
        <f>L223/L$12</f>
        <v>1.2979156955035212E-4</v>
      </c>
      <c r="N223" s="243">
        <f>16+106</f>
        <v>122</v>
      </c>
      <c r="O223" s="244">
        <f t="shared" si="172"/>
        <v>2.3064775531524916E-5</v>
      </c>
      <c r="P223" s="379">
        <v>0</v>
      </c>
      <c r="Q223" s="244">
        <f t="shared" si="173"/>
        <v>0</v>
      </c>
      <c r="R223" s="427">
        <v>0</v>
      </c>
      <c r="S223" s="428">
        <f t="shared" si="174"/>
        <v>0</v>
      </c>
      <c r="T223" s="573">
        <v>0</v>
      </c>
      <c r="U223" s="505">
        <f t="shared" si="175"/>
        <v>0</v>
      </c>
      <c r="V223" s="243">
        <v>0</v>
      </c>
      <c r="W223" s="505">
        <f t="shared" si="176"/>
        <v>0</v>
      </c>
      <c r="X223" s="427">
        <f t="shared" si="183"/>
        <v>0</v>
      </c>
      <c r="Y223" s="428">
        <f t="shared" si="177"/>
        <v>0</v>
      </c>
      <c r="Z223" s="520" t="e">
        <f t="shared" si="178"/>
        <v>#DIV/0!</v>
      </c>
      <c r="AA223" s="379">
        <f t="shared" ref="AA223" si="184">X223*$AH$1</f>
        <v>0</v>
      </c>
      <c r="AB223" s="505">
        <f t="shared" si="179"/>
        <v>0</v>
      </c>
      <c r="AC223" s="529" t="e">
        <f t="shared" si="153"/>
        <v>#DIV/0!</v>
      </c>
      <c r="AD223" s="427">
        <f t="shared" ref="AD223" si="185">AA223*$AH$1</f>
        <v>0</v>
      </c>
      <c r="AE223" s="428">
        <f t="shared" si="180"/>
        <v>0</v>
      </c>
      <c r="AF223" s="520" t="e">
        <f t="shared" si="154"/>
        <v>#DIV/0!</v>
      </c>
    </row>
    <row r="224" spans="1:32" ht="18" hidden="1" customHeight="1" x14ac:dyDescent="0.25">
      <c r="A224" s="101">
        <v>6</v>
      </c>
      <c r="B224" s="104" t="s">
        <v>155</v>
      </c>
      <c r="C224" s="75" t="s">
        <v>371</v>
      </c>
      <c r="D224" s="53"/>
      <c r="E224" s="54">
        <f>D224/D$12</f>
        <v>0</v>
      </c>
      <c r="F224" s="165"/>
      <c r="G224" s="164">
        <f>F224/F$12</f>
        <v>0</v>
      </c>
      <c r="H224" s="125"/>
      <c r="I224" s="54">
        <f>H224/H$12</f>
        <v>0</v>
      </c>
      <c r="J224" s="165"/>
      <c r="K224" s="164">
        <f>J224/J$12</f>
        <v>0</v>
      </c>
      <c r="L224" s="329"/>
      <c r="M224" s="211">
        <f>L224/L$12</f>
        <v>0</v>
      </c>
      <c r="N224" s="243">
        <v>29223</v>
      </c>
      <c r="O224" s="244">
        <f t="shared" si="172"/>
        <v>5.524769961948792E-3</v>
      </c>
      <c r="P224" s="379">
        <v>24945</v>
      </c>
      <c r="Q224" s="244">
        <f t="shared" si="173"/>
        <v>5.131432135498608E-3</v>
      </c>
      <c r="R224" s="427">
        <v>38921</v>
      </c>
      <c r="S224" s="428">
        <f t="shared" ref="S224:S234" si="186">R224/R$12</f>
        <v>7.2240084829804912E-3</v>
      </c>
      <c r="T224" s="573">
        <v>44402</v>
      </c>
      <c r="U224" s="505">
        <f t="shared" si="175"/>
        <v>9.8500464528563404E-3</v>
      </c>
      <c r="V224" s="243">
        <v>60550</v>
      </c>
      <c r="W224" s="505">
        <f t="shared" si="176"/>
        <v>1.1424528301886793E-2</v>
      </c>
      <c r="X224" s="427">
        <f>45135+27000</f>
        <v>72135</v>
      </c>
      <c r="Y224" s="428">
        <f t="shared" si="177"/>
        <v>1.3610377358490565E-2</v>
      </c>
      <c r="Z224" s="520">
        <f t="shared" si="178"/>
        <v>0.1913</v>
      </c>
      <c r="AA224" s="379">
        <f>60180+29975</f>
        <v>90155</v>
      </c>
      <c r="AB224" s="505">
        <f t="shared" si="179"/>
        <v>1.6391818181818181E-2</v>
      </c>
      <c r="AC224" s="529">
        <f t="shared" si="153"/>
        <v>0.24979999999999999</v>
      </c>
      <c r="AD224" s="427">
        <f>ROUND(AA224*1.1,-1)</f>
        <v>99170</v>
      </c>
      <c r="AE224" s="428">
        <f t="shared" si="180"/>
        <v>1.7098275862068964E-2</v>
      </c>
      <c r="AF224" s="520">
        <f t="shared" si="154"/>
        <v>0.1</v>
      </c>
    </row>
    <row r="225" spans="1:32" ht="18" hidden="1" customHeight="1" x14ac:dyDescent="0.25">
      <c r="A225" s="101">
        <v>7</v>
      </c>
      <c r="B225" s="104"/>
      <c r="C225" s="75" t="s">
        <v>363</v>
      </c>
      <c r="D225" s="53"/>
      <c r="E225" s="54"/>
      <c r="F225" s="165"/>
      <c r="G225" s="164"/>
      <c r="H225" s="125"/>
      <c r="I225" s="54"/>
      <c r="J225" s="165"/>
      <c r="K225" s="164"/>
      <c r="L225" s="329"/>
      <c r="M225" s="211"/>
      <c r="N225" s="243">
        <v>3771</v>
      </c>
      <c r="O225" s="244">
        <f t="shared" si="172"/>
        <v>7.1292843056869229E-4</v>
      </c>
      <c r="P225" s="379">
        <v>3996</v>
      </c>
      <c r="Q225" s="244">
        <f t="shared" si="173"/>
        <v>8.2201654894577822E-4</v>
      </c>
      <c r="R225" s="427">
        <v>4536</v>
      </c>
      <c r="S225" s="428">
        <f t="shared" si="186"/>
        <v>8.4191316972327299E-4</v>
      </c>
      <c r="T225" s="573">
        <v>4556</v>
      </c>
      <c r="U225" s="505">
        <f t="shared" si="175"/>
        <v>1.0106934741501167E-3</v>
      </c>
      <c r="V225" s="243">
        <v>4555</v>
      </c>
      <c r="W225" s="505">
        <f t="shared" si="176"/>
        <v>8.594339622641509E-4</v>
      </c>
      <c r="X225" s="427">
        <v>6000</v>
      </c>
      <c r="Y225" s="428">
        <f t="shared" si="177"/>
        <v>1.1320754716981133E-3</v>
      </c>
      <c r="Z225" s="520">
        <f t="shared" si="178"/>
        <v>0.31719999999999998</v>
      </c>
      <c r="AA225" s="573">
        <f t="shared" ref="AA225:AA230" si="187">ROUND(X225*$AH$1,-1)</f>
        <v>6150</v>
      </c>
      <c r="AB225" s="505">
        <f t="shared" si="179"/>
        <v>1.1181818181818181E-3</v>
      </c>
      <c r="AC225" s="529">
        <f t="shared" si="153"/>
        <v>2.5000000000000001E-2</v>
      </c>
      <c r="AD225" s="427">
        <f t="shared" ref="AD225:AD230" si="188">ROUND(AA225*$AH$1,-1)</f>
        <v>6300</v>
      </c>
      <c r="AE225" s="428">
        <f t="shared" si="180"/>
        <v>1.0862068965517241E-3</v>
      </c>
      <c r="AF225" s="520">
        <f t="shared" si="154"/>
        <v>2.4400000000000002E-2</v>
      </c>
    </row>
    <row r="226" spans="1:32" ht="18" hidden="1" customHeight="1" x14ac:dyDescent="0.25">
      <c r="A226" s="101">
        <v>10</v>
      </c>
      <c r="B226" s="104"/>
      <c r="C226" s="75" t="s">
        <v>372</v>
      </c>
      <c r="D226" s="53"/>
      <c r="E226" s="54"/>
      <c r="F226" s="165"/>
      <c r="G226" s="164"/>
      <c r="H226" s="125"/>
      <c r="I226" s="54"/>
      <c r="J226" s="165"/>
      <c r="K226" s="164"/>
      <c r="L226" s="329"/>
      <c r="M226" s="211"/>
      <c r="N226" s="243">
        <v>22856</v>
      </c>
      <c r="O226" s="244">
        <f t="shared" si="172"/>
        <v>4.3210533569551929E-3</v>
      </c>
      <c r="P226" s="379">
        <v>0</v>
      </c>
      <c r="Q226" s="244">
        <f t="shared" si="173"/>
        <v>0</v>
      </c>
      <c r="R226" s="427">
        <v>0</v>
      </c>
      <c r="S226" s="428">
        <f t="shared" si="186"/>
        <v>0</v>
      </c>
      <c r="T226" s="573">
        <v>0</v>
      </c>
      <c r="U226" s="505">
        <f t="shared" si="175"/>
        <v>0</v>
      </c>
      <c r="V226" s="243">
        <v>0</v>
      </c>
      <c r="W226" s="505">
        <f t="shared" si="176"/>
        <v>0</v>
      </c>
      <c r="X226" s="427">
        <f t="shared" si="183"/>
        <v>0</v>
      </c>
      <c r="Y226" s="428">
        <f t="shared" si="177"/>
        <v>0</v>
      </c>
      <c r="Z226" s="520" t="e">
        <f t="shared" si="178"/>
        <v>#DIV/0!</v>
      </c>
      <c r="AA226" s="573">
        <f t="shared" si="187"/>
        <v>0</v>
      </c>
      <c r="AB226" s="505">
        <f t="shared" si="179"/>
        <v>0</v>
      </c>
      <c r="AC226" s="529" t="e">
        <f t="shared" si="153"/>
        <v>#DIV/0!</v>
      </c>
      <c r="AD226" s="427">
        <f t="shared" si="188"/>
        <v>0</v>
      </c>
      <c r="AE226" s="428">
        <f t="shared" si="180"/>
        <v>0</v>
      </c>
      <c r="AF226" s="520" t="e">
        <f t="shared" si="154"/>
        <v>#DIV/0!</v>
      </c>
    </row>
    <row r="227" spans="1:32" ht="18" hidden="1" customHeight="1" x14ac:dyDescent="0.25">
      <c r="A227" s="101">
        <v>11</v>
      </c>
      <c r="B227" s="104"/>
      <c r="C227" s="75" t="s">
        <v>380</v>
      </c>
      <c r="D227" s="53"/>
      <c r="E227" s="54"/>
      <c r="F227" s="165"/>
      <c r="G227" s="164"/>
      <c r="H227" s="125"/>
      <c r="I227" s="54"/>
      <c r="J227" s="165"/>
      <c r="K227" s="164"/>
      <c r="L227" s="329"/>
      <c r="M227" s="211"/>
      <c r="N227" s="243">
        <v>0</v>
      </c>
      <c r="O227" s="244">
        <f t="shared" si="172"/>
        <v>0</v>
      </c>
      <c r="P227" s="379">
        <v>0</v>
      </c>
      <c r="Q227" s="244">
        <f t="shared" si="173"/>
        <v>0</v>
      </c>
      <c r="R227" s="427">
        <v>0</v>
      </c>
      <c r="S227" s="428">
        <f t="shared" si="186"/>
        <v>0</v>
      </c>
      <c r="T227" s="573">
        <v>0</v>
      </c>
      <c r="U227" s="505">
        <f t="shared" si="175"/>
        <v>0</v>
      </c>
      <c r="V227" s="243">
        <v>0</v>
      </c>
      <c r="W227" s="505">
        <f t="shared" si="176"/>
        <v>0</v>
      </c>
      <c r="X227" s="427">
        <f t="shared" si="183"/>
        <v>0</v>
      </c>
      <c r="Y227" s="428">
        <f t="shared" si="177"/>
        <v>0</v>
      </c>
      <c r="Z227" s="520" t="e">
        <f t="shared" si="178"/>
        <v>#DIV/0!</v>
      </c>
      <c r="AA227" s="573">
        <f t="shared" si="187"/>
        <v>0</v>
      </c>
      <c r="AB227" s="505">
        <f t="shared" si="179"/>
        <v>0</v>
      </c>
      <c r="AC227" s="529" t="e">
        <f t="shared" si="153"/>
        <v>#DIV/0!</v>
      </c>
      <c r="AD227" s="427">
        <f t="shared" si="188"/>
        <v>0</v>
      </c>
      <c r="AE227" s="428">
        <f t="shared" si="180"/>
        <v>0</v>
      </c>
      <c r="AF227" s="520" t="e">
        <f t="shared" si="154"/>
        <v>#DIV/0!</v>
      </c>
    </row>
    <row r="228" spans="1:32" ht="18" hidden="1" customHeight="1" x14ac:dyDescent="0.25">
      <c r="A228" s="101">
        <v>8</v>
      </c>
      <c r="B228" s="104" t="s">
        <v>155</v>
      </c>
      <c r="C228" s="75" t="s">
        <v>357</v>
      </c>
      <c r="D228" s="53"/>
      <c r="E228" s="54">
        <f t="shared" ref="E228:E234" si="189">D228/D$12</f>
        <v>0</v>
      </c>
      <c r="F228" s="165"/>
      <c r="G228" s="164">
        <f t="shared" ref="G228:G234" si="190">F228/F$12</f>
        <v>0</v>
      </c>
      <c r="H228" s="125"/>
      <c r="I228" s="54">
        <f t="shared" ref="I228:I234" si="191">H228/H$12</f>
        <v>0</v>
      </c>
      <c r="J228" s="165"/>
      <c r="K228" s="164">
        <f t="shared" ref="K228:K234" si="192">J228/J$12</f>
        <v>0</v>
      </c>
      <c r="L228" s="329"/>
      <c r="M228" s="211">
        <f t="shared" ref="M228:M234" si="193">L228/L$12</f>
        <v>0</v>
      </c>
      <c r="N228" s="243">
        <v>6520</v>
      </c>
      <c r="O228" s="244">
        <f t="shared" si="172"/>
        <v>1.2326421021765775E-3</v>
      </c>
      <c r="P228" s="379">
        <f>700+2500+2500</f>
        <v>5700</v>
      </c>
      <c r="Q228" s="244">
        <f t="shared" si="173"/>
        <v>1.1725461283761101E-3</v>
      </c>
      <c r="R228" s="427">
        <v>5713</v>
      </c>
      <c r="S228" s="428">
        <f t="shared" si="186"/>
        <v>1.0603725614261594E-3</v>
      </c>
      <c r="T228" s="573">
        <v>4680</v>
      </c>
      <c r="U228" s="505">
        <f t="shared" si="175"/>
        <v>1.0382013737977496E-3</v>
      </c>
      <c r="V228" s="243">
        <v>5000</v>
      </c>
      <c r="W228" s="505">
        <f t="shared" si="176"/>
        <v>9.4339622641509435E-4</v>
      </c>
      <c r="X228" s="427">
        <v>5000</v>
      </c>
      <c r="Y228" s="428">
        <f t="shared" si="177"/>
        <v>9.4339622641509435E-4</v>
      </c>
      <c r="Z228" s="520">
        <f t="shared" si="178"/>
        <v>0</v>
      </c>
      <c r="AA228" s="573">
        <f t="shared" si="187"/>
        <v>5130</v>
      </c>
      <c r="AB228" s="505">
        <f t="shared" si="179"/>
        <v>9.3272727272727268E-4</v>
      </c>
      <c r="AC228" s="529">
        <f t="shared" si="153"/>
        <v>2.5999999999999999E-2</v>
      </c>
      <c r="AD228" s="427">
        <f t="shared" si="188"/>
        <v>5260</v>
      </c>
      <c r="AE228" s="428">
        <f t="shared" si="180"/>
        <v>9.0689655172413797E-4</v>
      </c>
      <c r="AF228" s="520">
        <f t="shared" si="154"/>
        <v>2.53E-2</v>
      </c>
    </row>
    <row r="229" spans="1:32" ht="18" hidden="1" customHeight="1" x14ac:dyDescent="0.25">
      <c r="A229" s="101">
        <v>13</v>
      </c>
      <c r="B229" s="104" t="s">
        <v>155</v>
      </c>
      <c r="C229" s="75" t="s">
        <v>217</v>
      </c>
      <c r="D229" s="53"/>
      <c r="E229" s="54">
        <f t="shared" si="189"/>
        <v>0</v>
      </c>
      <c r="F229" s="165"/>
      <c r="G229" s="164">
        <f t="shared" si="190"/>
        <v>0</v>
      </c>
      <c r="H229" s="125"/>
      <c r="I229" s="54">
        <f t="shared" si="191"/>
        <v>0</v>
      </c>
      <c r="J229" s="165"/>
      <c r="K229" s="164">
        <f t="shared" si="192"/>
        <v>0</v>
      </c>
      <c r="L229" s="329"/>
      <c r="M229" s="211">
        <f t="shared" si="193"/>
        <v>0</v>
      </c>
      <c r="N229" s="243">
        <v>279</v>
      </c>
      <c r="O229" s="244">
        <f t="shared" si="172"/>
        <v>5.274649486307747E-5</v>
      </c>
      <c r="P229" s="379">
        <v>0</v>
      </c>
      <c r="Q229" s="244">
        <f t="shared" si="173"/>
        <v>0</v>
      </c>
      <c r="R229" s="427">
        <v>0</v>
      </c>
      <c r="S229" s="428">
        <f t="shared" si="186"/>
        <v>0</v>
      </c>
      <c r="T229" s="573">
        <v>0</v>
      </c>
      <c r="U229" s="505">
        <f t="shared" si="175"/>
        <v>0</v>
      </c>
      <c r="V229" s="243">
        <v>0</v>
      </c>
      <c r="W229" s="505">
        <f t="shared" si="176"/>
        <v>0</v>
      </c>
      <c r="X229" s="427">
        <f t="shared" si="183"/>
        <v>0</v>
      </c>
      <c r="Y229" s="428">
        <f t="shared" si="177"/>
        <v>0</v>
      </c>
      <c r="Z229" s="520" t="e">
        <f t="shared" si="178"/>
        <v>#DIV/0!</v>
      </c>
      <c r="AA229" s="573">
        <f t="shared" si="187"/>
        <v>0</v>
      </c>
      <c r="AB229" s="505">
        <f t="shared" si="179"/>
        <v>0</v>
      </c>
      <c r="AC229" s="529" t="e">
        <f t="shared" si="153"/>
        <v>#DIV/0!</v>
      </c>
      <c r="AD229" s="427">
        <f t="shared" si="188"/>
        <v>0</v>
      </c>
      <c r="AE229" s="428">
        <f t="shared" si="180"/>
        <v>0</v>
      </c>
      <c r="AF229" s="520" t="e">
        <f t="shared" si="154"/>
        <v>#DIV/0!</v>
      </c>
    </row>
    <row r="230" spans="1:32" ht="18" hidden="1" customHeight="1" x14ac:dyDescent="0.25">
      <c r="A230" s="101">
        <v>9</v>
      </c>
      <c r="B230" s="104"/>
      <c r="C230" s="75" t="s">
        <v>220</v>
      </c>
      <c r="D230" s="53"/>
      <c r="E230" s="54"/>
      <c r="F230" s="165"/>
      <c r="G230" s="164"/>
      <c r="H230" s="125"/>
      <c r="I230" s="54"/>
      <c r="J230" s="165"/>
      <c r="K230" s="164"/>
      <c r="L230" s="329"/>
      <c r="M230" s="211"/>
      <c r="N230" s="243">
        <v>2036</v>
      </c>
      <c r="O230" s="244">
        <f t="shared" si="172"/>
        <v>3.8491707362446501E-4</v>
      </c>
      <c r="P230" s="379">
        <v>1802</v>
      </c>
      <c r="Q230" s="244">
        <f t="shared" si="173"/>
        <v>3.706891444445176E-4</v>
      </c>
      <c r="R230" s="427">
        <v>2020</v>
      </c>
      <c r="S230" s="428">
        <f t="shared" si="186"/>
        <v>3.7492605882738348E-4</v>
      </c>
      <c r="T230" s="573">
        <v>1608</v>
      </c>
      <c r="U230" s="505">
        <f t="shared" si="175"/>
        <v>3.5671534381768831E-4</v>
      </c>
      <c r="V230" s="243">
        <v>2000</v>
      </c>
      <c r="W230" s="505">
        <f t="shared" si="176"/>
        <v>3.7735849056603772E-4</v>
      </c>
      <c r="X230" s="427">
        <v>2200</v>
      </c>
      <c r="Y230" s="428">
        <f t="shared" si="177"/>
        <v>4.150943396226415E-4</v>
      </c>
      <c r="Z230" s="520">
        <f t="shared" si="178"/>
        <v>0.1</v>
      </c>
      <c r="AA230" s="573">
        <f t="shared" si="187"/>
        <v>2260</v>
      </c>
      <c r="AB230" s="505">
        <f t="shared" si="179"/>
        <v>4.109090909090909E-4</v>
      </c>
      <c r="AC230" s="529">
        <f t="shared" si="153"/>
        <v>2.7300000000000001E-2</v>
      </c>
      <c r="AD230" s="427">
        <f t="shared" si="188"/>
        <v>2320</v>
      </c>
      <c r="AE230" s="428">
        <f t="shared" si="180"/>
        <v>4.0000000000000002E-4</v>
      </c>
      <c r="AF230" s="520">
        <f t="shared" si="154"/>
        <v>2.6499999999999999E-2</v>
      </c>
    </row>
    <row r="231" spans="1:32" ht="18" hidden="1" customHeight="1" x14ac:dyDescent="0.25">
      <c r="A231" s="101">
        <v>10</v>
      </c>
      <c r="B231" s="104" t="s">
        <v>156</v>
      </c>
      <c r="C231" s="75" t="s">
        <v>224</v>
      </c>
      <c r="D231" s="53">
        <v>8953</v>
      </c>
      <c r="E231" s="54">
        <f t="shared" si="189"/>
        <v>1.7007868740909586E-3</v>
      </c>
      <c r="F231" s="165">
        <v>6633</v>
      </c>
      <c r="G231" s="164">
        <f t="shared" si="190"/>
        <v>1.297502469127833E-3</v>
      </c>
      <c r="H231" s="125">
        <v>4125</v>
      </c>
      <c r="I231" s="54">
        <f t="shared" si="191"/>
        <v>7.5618684579526201E-4</v>
      </c>
      <c r="J231" s="165">
        <v>4778</v>
      </c>
      <c r="K231" s="164">
        <f t="shared" si="192"/>
        <v>8.5503566436432178E-4</v>
      </c>
      <c r="L231" s="329">
        <v>8243</v>
      </c>
      <c r="M231" s="211">
        <f t="shared" si="193"/>
        <v>1.6064142759813101E-3</v>
      </c>
      <c r="N231" s="243">
        <v>7811</v>
      </c>
      <c r="O231" s="244">
        <f t="shared" si="172"/>
        <v>1.4767128006290256E-3</v>
      </c>
      <c r="P231" s="379">
        <v>8404</v>
      </c>
      <c r="Q231" s="244">
        <f t="shared" si="173"/>
        <v>1.72878555488997E-3</v>
      </c>
      <c r="R231" s="427">
        <v>8821</v>
      </c>
      <c r="S231" s="428">
        <f t="shared" si="186"/>
        <v>1.6372389925328463E-3</v>
      </c>
      <c r="T231" s="573">
        <v>7965</v>
      </c>
      <c r="U231" s="505">
        <f t="shared" si="175"/>
        <v>1.7669388765596313E-3</v>
      </c>
      <c r="V231" s="243">
        <v>11453</v>
      </c>
      <c r="W231" s="505">
        <f t="shared" si="176"/>
        <v>2.1609433962264152E-3</v>
      </c>
      <c r="X231" s="427">
        <v>12845</v>
      </c>
      <c r="Y231" s="428">
        <f t="shared" si="177"/>
        <v>2.4235849056603773E-3</v>
      </c>
      <c r="Z231" s="520">
        <f t="shared" si="178"/>
        <v>0.1215</v>
      </c>
      <c r="AA231" s="379">
        <v>14480</v>
      </c>
      <c r="AB231" s="505">
        <f t="shared" si="179"/>
        <v>2.6327272727272727E-3</v>
      </c>
      <c r="AC231" s="529">
        <f t="shared" si="153"/>
        <v>0.1273</v>
      </c>
      <c r="AD231" s="427">
        <v>15615</v>
      </c>
      <c r="AE231" s="428">
        <f t="shared" si="180"/>
        <v>2.692241379310345E-3</v>
      </c>
      <c r="AF231" s="520">
        <f t="shared" si="154"/>
        <v>7.8399999999999997E-2</v>
      </c>
    </row>
    <row r="232" spans="1:32" ht="18" hidden="1" customHeight="1" x14ac:dyDescent="0.25">
      <c r="A232" s="101">
        <v>11</v>
      </c>
      <c r="B232" s="104" t="s">
        <v>157</v>
      </c>
      <c r="C232" s="75" t="s">
        <v>5</v>
      </c>
      <c r="D232" s="53">
        <v>8556</v>
      </c>
      <c r="E232" s="54">
        <f t="shared" si="189"/>
        <v>1.6253694286520988E-3</v>
      </c>
      <c r="F232" s="165">
        <v>8894</v>
      </c>
      <c r="G232" s="164">
        <f t="shared" si="190"/>
        <v>1.7397839530262245E-3</v>
      </c>
      <c r="H232" s="125">
        <v>9148</v>
      </c>
      <c r="I232" s="54">
        <f t="shared" si="191"/>
        <v>1.6769932764448623E-3</v>
      </c>
      <c r="J232" s="165">
        <v>9014</v>
      </c>
      <c r="K232" s="164">
        <f t="shared" si="192"/>
        <v>1.6130790034700705E-3</v>
      </c>
      <c r="L232" s="329">
        <v>9527</v>
      </c>
      <c r="M232" s="211">
        <f t="shared" si="193"/>
        <v>1.8566430677270339E-3</v>
      </c>
      <c r="N232" s="243">
        <v>9649</v>
      </c>
      <c r="O232" s="244">
        <f t="shared" si="172"/>
        <v>1.8241968778990485E-3</v>
      </c>
      <c r="P232" s="379">
        <v>9888</v>
      </c>
      <c r="Q232" s="244">
        <f t="shared" si="173"/>
        <v>2.0340589679619255E-3</v>
      </c>
      <c r="R232" s="427">
        <v>8785</v>
      </c>
      <c r="S232" s="428">
        <f t="shared" si="186"/>
        <v>1.6305571419794871E-3</v>
      </c>
      <c r="T232" s="573">
        <v>7088</v>
      </c>
      <c r="U232" s="505">
        <f t="shared" si="175"/>
        <v>1.5723870379227454E-3</v>
      </c>
      <c r="V232" s="243">
        <v>10050</v>
      </c>
      <c r="W232" s="505">
        <f t="shared" si="176"/>
        <v>1.8962264150943395E-3</v>
      </c>
      <c r="X232" s="427">
        <v>10540</v>
      </c>
      <c r="Y232" s="428">
        <f t="shared" si="177"/>
        <v>1.9886792452830189E-3</v>
      </c>
      <c r="Z232" s="520">
        <f t="shared" si="178"/>
        <v>4.8800000000000003E-2</v>
      </c>
      <c r="AA232" s="379">
        <v>10750</v>
      </c>
      <c r="AB232" s="505">
        <f t="shared" si="179"/>
        <v>1.9545454545454545E-3</v>
      </c>
      <c r="AC232" s="529">
        <f t="shared" si="153"/>
        <v>1.9900000000000001E-2</v>
      </c>
      <c r="AD232" s="427">
        <v>11020</v>
      </c>
      <c r="AE232" s="428">
        <f t="shared" si="180"/>
        <v>1.9E-3</v>
      </c>
      <c r="AF232" s="520">
        <f t="shared" si="154"/>
        <v>2.5100000000000001E-2</v>
      </c>
    </row>
    <row r="233" spans="1:32" ht="18" hidden="1" customHeight="1" x14ac:dyDescent="0.25">
      <c r="A233" s="101">
        <v>12</v>
      </c>
      <c r="B233" s="104" t="s">
        <v>158</v>
      </c>
      <c r="C233" s="76" t="s">
        <v>225</v>
      </c>
      <c r="D233" s="55">
        <v>5208</v>
      </c>
      <c r="E233" s="56">
        <f t="shared" si="189"/>
        <v>9.8935530439692968E-4</v>
      </c>
      <c r="F233" s="166">
        <v>6593</v>
      </c>
      <c r="G233" s="167">
        <f t="shared" si="190"/>
        <v>1.2896779404432087E-3</v>
      </c>
      <c r="H233" s="126">
        <v>6761</v>
      </c>
      <c r="I233" s="56">
        <f t="shared" si="191"/>
        <v>1.2394131550113373E-3</v>
      </c>
      <c r="J233" s="166">
        <v>7288</v>
      </c>
      <c r="K233" s="167">
        <f t="shared" si="192"/>
        <v>1.3042067647315147E-3</v>
      </c>
      <c r="L233" s="331">
        <v>7271</v>
      </c>
      <c r="M233" s="212">
        <f t="shared" si="193"/>
        <v>1.4169887420429582E-3</v>
      </c>
      <c r="N233" s="246">
        <v>6948</v>
      </c>
      <c r="O233" s="247">
        <f t="shared" si="172"/>
        <v>1.3135578720740583E-3</v>
      </c>
      <c r="P233" s="381">
        <v>7119</v>
      </c>
      <c r="Q233" s="247">
        <f t="shared" si="173"/>
        <v>1.4644484013876364E-3</v>
      </c>
      <c r="R233" s="430">
        <v>7111</v>
      </c>
      <c r="S233" s="431">
        <f t="shared" si="186"/>
        <v>1.3198510912482793E-3</v>
      </c>
      <c r="T233" s="574">
        <v>6285</v>
      </c>
      <c r="U233" s="506">
        <f t="shared" si="175"/>
        <v>1.3942512039142854E-3</v>
      </c>
      <c r="V233" s="246">
        <v>8380</v>
      </c>
      <c r="W233" s="506">
        <f t="shared" si="176"/>
        <v>1.5811320754716982E-3</v>
      </c>
      <c r="X233" s="430">
        <v>14855</v>
      </c>
      <c r="Y233" s="431">
        <f t="shared" si="177"/>
        <v>2.8028301886792455E-3</v>
      </c>
      <c r="Z233" s="521">
        <f t="shared" si="178"/>
        <v>0.77270000000000005</v>
      </c>
      <c r="AA233" s="381">
        <v>15635</v>
      </c>
      <c r="AB233" s="506">
        <f t="shared" si="179"/>
        <v>2.8427272727272728E-3</v>
      </c>
      <c r="AC233" s="529">
        <f t="shared" si="153"/>
        <v>5.2499999999999998E-2</v>
      </c>
      <c r="AD233" s="430">
        <v>16415</v>
      </c>
      <c r="AE233" s="431">
        <f t="shared" si="180"/>
        <v>2.8301724137931032E-3</v>
      </c>
      <c r="AF233" s="520">
        <f t="shared" si="154"/>
        <v>4.99E-2</v>
      </c>
    </row>
    <row r="234" spans="1:32" ht="17.25" hidden="1" customHeight="1" thickBot="1" x14ac:dyDescent="0.3">
      <c r="A234" s="97"/>
      <c r="B234" s="98"/>
      <c r="C234" s="82" t="s">
        <v>226</v>
      </c>
      <c r="D234" s="37">
        <f>SUM(D217:D233)</f>
        <v>156878</v>
      </c>
      <c r="E234" s="38">
        <f t="shared" si="189"/>
        <v>2.9801858956064044E-2</v>
      </c>
      <c r="F234" s="179">
        <f>SUM(F217:F233)</f>
        <v>160714</v>
      </c>
      <c r="G234" s="180">
        <f t="shared" si="190"/>
        <v>3.143778257551795E-2</v>
      </c>
      <c r="H234" s="133">
        <f>SUM(H217:H233)</f>
        <v>185776</v>
      </c>
      <c r="I234" s="38">
        <f t="shared" si="191"/>
        <v>3.4056089082293475E-2</v>
      </c>
      <c r="J234" s="179">
        <f>SUM(J217:J233)</f>
        <v>189413</v>
      </c>
      <c r="K234" s="180">
        <f t="shared" si="192"/>
        <v>3.3895954435797251E-2</v>
      </c>
      <c r="L234" s="339">
        <f>SUM(L217:L233)</f>
        <v>178887</v>
      </c>
      <c r="M234" s="219">
        <f t="shared" si="193"/>
        <v>3.486189865188264E-2</v>
      </c>
      <c r="N234" s="263">
        <f>SUM(N217:N233)</f>
        <v>336273</v>
      </c>
      <c r="O234" s="264">
        <f t="shared" si="172"/>
        <v>6.3574272641905558E-2</v>
      </c>
      <c r="P234" s="395">
        <f>SUM(P217:P233)</f>
        <v>258030</v>
      </c>
      <c r="Q234" s="264">
        <f t="shared" si="173"/>
        <v>5.3079311842962745E-2</v>
      </c>
      <c r="R234" s="447">
        <f>SUM(R217:R233)</f>
        <v>384414</v>
      </c>
      <c r="S234" s="448">
        <f t="shared" si="186"/>
        <v>7.1349913850529606E-2</v>
      </c>
      <c r="T234" s="395">
        <f>SUM(T217:T233)</f>
        <v>381107</v>
      </c>
      <c r="U234" s="514">
        <f t="shared" si="175"/>
        <v>8.4543976701696347E-2</v>
      </c>
      <c r="V234" s="263">
        <f>SUM(V217:V233)</f>
        <v>477778</v>
      </c>
      <c r="W234" s="514">
        <f t="shared" si="176"/>
        <v>9.0146792452830193E-2</v>
      </c>
      <c r="X234" s="447">
        <f>SUM(X217:X233)</f>
        <v>457400</v>
      </c>
      <c r="Y234" s="448">
        <f t="shared" si="177"/>
        <v>8.6301886792452834E-2</v>
      </c>
      <c r="Z234" s="524">
        <f t="shared" si="178"/>
        <v>-4.2700000000000002E-2</v>
      </c>
      <c r="AA234" s="395">
        <f>SUM(AA217:AA233)</f>
        <v>421535</v>
      </c>
      <c r="AB234" s="514">
        <f t="shared" si="179"/>
        <v>7.6642727272727279E-2</v>
      </c>
      <c r="AC234" s="533">
        <f t="shared" si="153"/>
        <v>-7.8399999999999997E-2</v>
      </c>
      <c r="AD234" s="447">
        <f>SUM(AD217:AD233)</f>
        <v>405440</v>
      </c>
      <c r="AE234" s="448">
        <f t="shared" si="180"/>
        <v>6.9903448275862062E-2</v>
      </c>
      <c r="AF234" s="524">
        <f t="shared" si="154"/>
        <v>-3.8199999999999998E-2</v>
      </c>
    </row>
    <row r="235" spans="1:32" ht="18" hidden="1" customHeight="1" thickTop="1" x14ac:dyDescent="0.25">
      <c r="A235" s="97"/>
      <c r="B235" s="98"/>
      <c r="C235" s="73" t="s">
        <v>198</v>
      </c>
      <c r="D235" s="33"/>
      <c r="E235" s="29"/>
      <c r="F235" s="183"/>
      <c r="G235" s="160"/>
      <c r="H235" s="136"/>
      <c r="I235" s="29"/>
      <c r="J235" s="183"/>
      <c r="K235" s="160"/>
      <c r="L235" s="341"/>
      <c r="M235" s="209"/>
      <c r="N235" s="267"/>
      <c r="O235" s="242"/>
      <c r="P235" s="397"/>
      <c r="Q235" s="242"/>
      <c r="R235" s="451"/>
      <c r="S235" s="426"/>
      <c r="T235" s="397"/>
      <c r="U235" s="504"/>
      <c r="V235" s="267"/>
      <c r="W235" s="504"/>
      <c r="X235" s="451"/>
      <c r="Y235" s="426"/>
      <c r="Z235" s="426"/>
      <c r="AA235" s="397"/>
      <c r="AB235" s="504"/>
      <c r="AC235" s="530"/>
      <c r="AD235" s="451"/>
      <c r="AE235" s="426"/>
      <c r="AF235" s="523"/>
    </row>
    <row r="236" spans="1:32" ht="18" hidden="1" customHeight="1" x14ac:dyDescent="0.25">
      <c r="A236" s="97"/>
      <c r="B236" s="98"/>
      <c r="C236" s="73" t="s">
        <v>268</v>
      </c>
      <c r="D236" s="24"/>
      <c r="E236" s="39"/>
      <c r="F236" s="152"/>
      <c r="G236" s="185"/>
      <c r="H236" s="122"/>
      <c r="I236" s="39"/>
      <c r="J236" s="159"/>
      <c r="K236" s="185"/>
      <c r="L236" s="328"/>
      <c r="M236" s="222"/>
      <c r="N236" s="241"/>
      <c r="O236" s="269"/>
      <c r="P236" s="378"/>
      <c r="Q236" s="269"/>
      <c r="R236" s="425"/>
      <c r="S236" s="454"/>
      <c r="T236" s="378"/>
      <c r="U236" s="269"/>
      <c r="V236" s="241"/>
      <c r="W236" s="269"/>
      <c r="X236" s="425"/>
      <c r="Y236" s="454"/>
      <c r="Z236" s="454"/>
      <c r="AA236" s="378"/>
      <c r="AB236" s="269"/>
      <c r="AC236" s="532"/>
      <c r="AD236" s="425"/>
      <c r="AE236" s="454"/>
      <c r="AF236" s="528"/>
    </row>
    <row r="237" spans="1:32" ht="18" hidden="1" customHeight="1" x14ac:dyDescent="0.25">
      <c r="A237" s="97"/>
      <c r="B237" s="98"/>
      <c r="C237" s="75" t="s">
        <v>214</v>
      </c>
      <c r="D237" s="106">
        <v>5.6</v>
      </c>
      <c r="E237" s="54"/>
      <c r="F237" s="177">
        <v>5.6</v>
      </c>
      <c r="G237" s="164"/>
      <c r="H237" s="132">
        <v>5.33</v>
      </c>
      <c r="I237" s="54"/>
      <c r="J237" s="177">
        <v>5.33</v>
      </c>
      <c r="K237" s="164"/>
      <c r="L237" s="338">
        <v>5.33</v>
      </c>
      <c r="M237" s="211"/>
      <c r="N237" s="261">
        <v>6.8</v>
      </c>
      <c r="O237" s="244"/>
      <c r="P237" s="394">
        <v>6.8</v>
      </c>
      <c r="Q237" s="244"/>
      <c r="R237" s="445">
        <v>6.5</v>
      </c>
      <c r="S237" s="428"/>
      <c r="T237" s="394">
        <v>6.5</v>
      </c>
      <c r="U237" s="505"/>
      <c r="V237" s="261">
        <v>6.5</v>
      </c>
      <c r="W237" s="505"/>
      <c r="X237" s="445">
        <v>6.5</v>
      </c>
      <c r="Y237" s="428"/>
      <c r="Z237" s="428"/>
      <c r="AA237" s="394">
        <v>6.5</v>
      </c>
      <c r="AB237" s="505"/>
      <c r="AC237" s="529">
        <f t="shared" si="153"/>
        <v>0</v>
      </c>
      <c r="AD237" s="445">
        <v>6.5</v>
      </c>
      <c r="AE237" s="428"/>
      <c r="AF237" s="520">
        <f t="shared" si="154"/>
        <v>0</v>
      </c>
    </row>
    <row r="238" spans="1:32" ht="18" hidden="1" customHeight="1" x14ac:dyDescent="0.25">
      <c r="A238" s="101">
        <v>1</v>
      </c>
      <c r="B238" s="102" t="s">
        <v>159</v>
      </c>
      <c r="C238" s="74" t="s">
        <v>215</v>
      </c>
      <c r="D238" s="51">
        <f>335561-9972+22926</f>
        <v>348515</v>
      </c>
      <c r="E238" s="52">
        <f>D238/D$12</f>
        <v>6.6206828708121349E-2</v>
      </c>
      <c r="F238" s="161">
        <f>340215-4023+21397</f>
        <v>357589</v>
      </c>
      <c r="G238" s="162">
        <f>F238/F$12</f>
        <v>6.9949134695153431E-2</v>
      </c>
      <c r="H238" s="123">
        <f>398177-12728+9540</f>
        <v>394989</v>
      </c>
      <c r="I238" s="52">
        <f t="shared" ref="I238:I265" si="194">H238/H$12</f>
        <v>7.240860267486661E-2</v>
      </c>
      <c r="J238" s="161">
        <f>391245+16837</f>
        <v>408082</v>
      </c>
      <c r="K238" s="162">
        <f t="shared" ref="K238:K265" si="195">J238/J$12</f>
        <v>7.3027347004001916E-2</v>
      </c>
      <c r="L238" s="336">
        <f>399595+18223</f>
        <v>417818</v>
      </c>
      <c r="M238" s="210">
        <f t="shared" ref="M238:M265" si="196">L238/L$12</f>
        <v>8.1425306315899434E-2</v>
      </c>
      <c r="N238" s="255">
        <f>492960+2219</f>
        <v>495179</v>
      </c>
      <c r="O238" s="256">
        <f>N238/N$12</f>
        <v>9.3616331827253901E-2</v>
      </c>
      <c r="P238" s="387">
        <f>513406+880</f>
        <v>514286</v>
      </c>
      <c r="Q238" s="256">
        <f t="shared" ref="Q238:Q279" si="197">P238/P$12</f>
        <v>0.10579369441719932</v>
      </c>
      <c r="R238" s="439">
        <v>475374</v>
      </c>
      <c r="S238" s="440">
        <f>R238/R$12</f>
        <v>8.8232722915350795E-2</v>
      </c>
      <c r="T238" s="577">
        <v>356973</v>
      </c>
      <c r="U238" s="510">
        <f>T238/T$12</f>
        <v>7.9190140813825652E-2</v>
      </c>
      <c r="V238" s="255">
        <v>485105</v>
      </c>
      <c r="W238" s="510">
        <f>V238/V$12</f>
        <v>9.1529245283018867E-2</v>
      </c>
      <c r="X238" s="427">
        <f>405745+90995</f>
        <v>496740</v>
      </c>
      <c r="Y238" s="440">
        <f t="shared" ref="Y238:Y279" si="198">X238/X$12</f>
        <v>9.3724528301886795E-2</v>
      </c>
      <c r="Z238" s="520">
        <f t="shared" ref="Z238:Z279" si="199">ROUND((X238-V238)/V238,4)</f>
        <v>2.4E-2</v>
      </c>
      <c r="AA238" s="379">
        <f>416885+90995</f>
        <v>507880</v>
      </c>
      <c r="AB238" s="510">
        <f t="shared" ref="AB238:AB279" si="200">AA238/AA$12</f>
        <v>9.2341818181818178E-2</v>
      </c>
      <c r="AC238" s="529">
        <f t="shared" si="153"/>
        <v>2.24E-2</v>
      </c>
      <c r="AD238" s="427">
        <f>428490+93470</f>
        <v>521960</v>
      </c>
      <c r="AE238" s="440">
        <f t="shared" ref="AE238:AE279" si="201">AD238/AD$12</f>
        <v>8.9993103448275866E-2</v>
      </c>
      <c r="AF238" s="520">
        <f t="shared" si="154"/>
        <v>2.7699999999999999E-2</v>
      </c>
    </row>
    <row r="239" spans="1:32" ht="18" hidden="1" customHeight="1" x14ac:dyDescent="0.25">
      <c r="A239" s="101">
        <v>2</v>
      </c>
      <c r="B239" s="104" t="s">
        <v>329</v>
      </c>
      <c r="C239" s="75" t="s">
        <v>314</v>
      </c>
      <c r="D239" s="53">
        <v>9972</v>
      </c>
      <c r="E239" s="54">
        <f t="shared" ref="E239:E265" si="202">D239/D$12</f>
        <v>1.8943646496632457E-3</v>
      </c>
      <c r="F239" s="165">
        <v>4023</v>
      </c>
      <c r="G239" s="164">
        <f t="shared" ref="G239:G265" si="203">F239/F$12</f>
        <v>7.8695197245609409E-4</v>
      </c>
      <c r="H239" s="125">
        <v>12728</v>
      </c>
      <c r="I239" s="54">
        <f t="shared" si="194"/>
        <v>2.3332717995835383E-3</v>
      </c>
      <c r="J239" s="165">
        <v>25791</v>
      </c>
      <c r="K239" s="164">
        <f t="shared" si="195"/>
        <v>4.6153672707451281E-3</v>
      </c>
      <c r="L239" s="329">
        <v>12466</v>
      </c>
      <c r="M239" s="211">
        <f t="shared" si="196"/>
        <v>2.429401960983017E-3</v>
      </c>
      <c r="N239" s="243">
        <v>34224</v>
      </c>
      <c r="O239" s="244">
        <f t="shared" ref="O239:O279" si="204">N239/N$12</f>
        <v>6.4702367032041701E-3</v>
      </c>
      <c r="P239" s="379">
        <v>23169</v>
      </c>
      <c r="Q239" s="244">
        <f t="shared" si="197"/>
        <v>4.7660914470782616E-3</v>
      </c>
      <c r="R239" s="427">
        <v>17940</v>
      </c>
      <c r="S239" s="428">
        <f t="shared" ref="S239:S279" si="205">R239/R$12</f>
        <v>3.3297888590907228E-3</v>
      </c>
      <c r="T239" s="575">
        <v>15750</v>
      </c>
      <c r="U239" s="505">
        <f t="shared" ref="U239:U279" si="206">T239/T$12</f>
        <v>3.4939469310501185E-3</v>
      </c>
      <c r="V239" s="243">
        <v>21000</v>
      </c>
      <c r="W239" s="505">
        <f t="shared" ref="W239:W279" si="207">V239/V$12</f>
        <v>3.9622641509433959E-3</v>
      </c>
      <c r="X239" s="427">
        <v>21000</v>
      </c>
      <c r="Y239" s="428">
        <f t="shared" si="198"/>
        <v>3.9622641509433959E-3</v>
      </c>
      <c r="Z239" s="520">
        <f t="shared" si="199"/>
        <v>0</v>
      </c>
      <c r="AA239" s="573">
        <f t="shared" ref="AA239" si="208">ROUND(X239*$AH$1,-1)</f>
        <v>21530</v>
      </c>
      <c r="AB239" s="505">
        <f t="shared" si="200"/>
        <v>3.9145454545454544E-3</v>
      </c>
      <c r="AC239" s="529">
        <f t="shared" si="153"/>
        <v>2.52E-2</v>
      </c>
      <c r="AD239" s="427">
        <v>21000</v>
      </c>
      <c r="AE239" s="428">
        <f t="shared" si="201"/>
        <v>3.620689655172414E-3</v>
      </c>
      <c r="AF239" s="520">
        <f t="shared" si="154"/>
        <v>-2.46E-2</v>
      </c>
    </row>
    <row r="240" spans="1:32" ht="18" hidden="1" customHeight="1" x14ac:dyDescent="0.25">
      <c r="A240" s="101">
        <v>4</v>
      </c>
      <c r="B240" s="104" t="s">
        <v>160</v>
      </c>
      <c r="C240" s="75" t="s">
        <v>269</v>
      </c>
      <c r="D240" s="53">
        <v>705</v>
      </c>
      <c r="E240" s="54">
        <f t="shared" si="202"/>
        <v>1.339277053763125E-4</v>
      </c>
      <c r="F240" s="165">
        <v>373</v>
      </c>
      <c r="G240" s="164">
        <f t="shared" si="203"/>
        <v>7.2963729984122072E-5</v>
      </c>
      <c r="H240" s="125">
        <v>7220</v>
      </c>
      <c r="I240" s="54">
        <f t="shared" si="194"/>
        <v>1.3235561276707373E-3</v>
      </c>
      <c r="J240" s="165">
        <v>937</v>
      </c>
      <c r="K240" s="164">
        <f t="shared" si="195"/>
        <v>1.6767861396177678E-4</v>
      </c>
      <c r="L240" s="329">
        <v>3922</v>
      </c>
      <c r="M240" s="211">
        <f t="shared" si="196"/>
        <v>7.6432813179651803E-4</v>
      </c>
      <c r="N240" s="243">
        <v>18485</v>
      </c>
      <c r="O240" s="244">
        <f t="shared" si="204"/>
        <v>3.4946916041003122E-3</v>
      </c>
      <c r="P240" s="379">
        <v>0</v>
      </c>
      <c r="Q240" s="244">
        <f t="shared" si="197"/>
        <v>0</v>
      </c>
      <c r="R240" s="427">
        <v>0</v>
      </c>
      <c r="S240" s="428">
        <f t="shared" si="205"/>
        <v>0</v>
      </c>
      <c r="T240" s="575">
        <v>1599</v>
      </c>
      <c r="U240" s="505">
        <f t="shared" si="206"/>
        <v>3.5471880271423109E-4</v>
      </c>
      <c r="V240" s="243">
        <v>0</v>
      </c>
      <c r="W240" s="505">
        <f t="shared" si="207"/>
        <v>0</v>
      </c>
      <c r="X240" s="427">
        <v>0</v>
      </c>
      <c r="Y240" s="428">
        <f t="shared" si="198"/>
        <v>0</v>
      </c>
      <c r="Z240" s="520" t="e">
        <f t="shared" si="199"/>
        <v>#DIV/0!</v>
      </c>
      <c r="AA240" s="379">
        <v>7500</v>
      </c>
      <c r="AB240" s="505">
        <f t="shared" si="200"/>
        <v>1.3636363636363637E-3</v>
      </c>
      <c r="AC240" s="529" t="e">
        <f t="shared" si="153"/>
        <v>#DIV/0!</v>
      </c>
      <c r="AD240" s="427">
        <v>7500</v>
      </c>
      <c r="AE240" s="428">
        <f t="shared" si="201"/>
        <v>1.2931034482758621E-3</v>
      </c>
      <c r="AF240" s="520">
        <f t="shared" si="154"/>
        <v>0</v>
      </c>
    </row>
    <row r="241" spans="1:32" ht="18" hidden="1" customHeight="1" x14ac:dyDescent="0.25">
      <c r="A241" s="101">
        <v>3</v>
      </c>
      <c r="B241" s="104" t="s">
        <v>7</v>
      </c>
      <c r="C241" s="75" t="s">
        <v>6</v>
      </c>
      <c r="D241" s="53">
        <f>2500+7300</f>
        <v>9800</v>
      </c>
      <c r="E241" s="54">
        <f t="shared" si="202"/>
        <v>1.8616900889189538E-3</v>
      </c>
      <c r="F241" s="165">
        <f>7500+21112</f>
        <v>28612</v>
      </c>
      <c r="G241" s="164">
        <f t="shared" si="203"/>
        <v>5.5968853681117982E-3</v>
      </c>
      <c r="H241" s="125">
        <v>18594</v>
      </c>
      <c r="I241" s="54">
        <f t="shared" si="194"/>
        <v>3.4086153238102063E-3</v>
      </c>
      <c r="J241" s="165">
        <v>26494</v>
      </c>
      <c r="K241" s="164">
        <f t="shared" si="195"/>
        <v>4.7411709693738679E-3</v>
      </c>
      <c r="L241" s="329">
        <v>36193</v>
      </c>
      <c r="M241" s="211">
        <f t="shared" si="196"/>
        <v>7.0533727878917324E-3</v>
      </c>
      <c r="N241" s="243">
        <v>9341</v>
      </c>
      <c r="O241" s="244">
        <f t="shared" si="204"/>
        <v>1.7659677724588053E-3</v>
      </c>
      <c r="P241" s="379">
        <v>7823</v>
      </c>
      <c r="Q241" s="244">
        <f t="shared" si="197"/>
        <v>1.60926813373444E-3</v>
      </c>
      <c r="R241" s="427">
        <v>8013</v>
      </c>
      <c r="S241" s="428">
        <f t="shared" si="205"/>
        <v>1.4872685690018931E-3</v>
      </c>
      <c r="T241" s="575">
        <v>4967</v>
      </c>
      <c r="U241" s="505">
        <f t="shared" si="206"/>
        <v>1.101868851207996E-3</v>
      </c>
      <c r="V241" s="243">
        <v>10000</v>
      </c>
      <c r="W241" s="505">
        <f t="shared" si="207"/>
        <v>1.8867924528301887E-3</v>
      </c>
      <c r="X241" s="427">
        <v>11000</v>
      </c>
      <c r="Y241" s="428">
        <f t="shared" si="198"/>
        <v>2.0754716981132076E-3</v>
      </c>
      <c r="Z241" s="520">
        <f t="shared" si="199"/>
        <v>0.1</v>
      </c>
      <c r="AA241" s="379">
        <v>12000</v>
      </c>
      <c r="AB241" s="505">
        <f t="shared" si="200"/>
        <v>2.1818181818181819E-3</v>
      </c>
      <c r="AC241" s="529">
        <f t="shared" si="153"/>
        <v>9.0899999999999995E-2</v>
      </c>
      <c r="AD241" s="427">
        <v>12000</v>
      </c>
      <c r="AE241" s="428">
        <f t="shared" si="201"/>
        <v>2.0689655172413794E-3</v>
      </c>
      <c r="AF241" s="520">
        <f t="shared" si="154"/>
        <v>0</v>
      </c>
    </row>
    <row r="242" spans="1:32" ht="18" hidden="1" customHeight="1" x14ac:dyDescent="0.25">
      <c r="A242" s="101">
        <v>4</v>
      </c>
      <c r="B242" s="104" t="s">
        <v>307</v>
      </c>
      <c r="C242" s="75" t="s">
        <v>290</v>
      </c>
      <c r="D242" s="53">
        <v>0</v>
      </c>
      <c r="E242" s="54">
        <f t="shared" si="202"/>
        <v>0</v>
      </c>
      <c r="F242" s="163">
        <v>0</v>
      </c>
      <c r="G242" s="164">
        <f t="shared" si="203"/>
        <v>0</v>
      </c>
      <c r="H242" s="124">
        <v>0</v>
      </c>
      <c r="I242" s="54">
        <f t="shared" si="194"/>
        <v>0</v>
      </c>
      <c r="J242" s="163">
        <v>1532</v>
      </c>
      <c r="K242" s="164">
        <f t="shared" si="195"/>
        <v>2.741554285906532E-4</v>
      </c>
      <c r="L242" s="330">
        <v>44614</v>
      </c>
      <c r="M242" s="211">
        <f t="shared" si="196"/>
        <v>8.694476101981095E-3</v>
      </c>
      <c r="N242" s="243">
        <v>2127</v>
      </c>
      <c r="O242" s="244">
        <f t="shared" si="204"/>
        <v>4.0212112750453684E-4</v>
      </c>
      <c r="P242" s="379">
        <v>2094</v>
      </c>
      <c r="Q242" s="244">
        <f t="shared" si="197"/>
        <v>4.3075641979290776E-4</v>
      </c>
      <c r="R242" s="427">
        <v>5518</v>
      </c>
      <c r="S242" s="428">
        <f t="shared" si="205"/>
        <v>1.0241792042621298E-3</v>
      </c>
      <c r="T242" s="575">
        <v>4117</v>
      </c>
      <c r="U242" s="505">
        <f t="shared" si="206"/>
        <v>9.1330663588148181E-4</v>
      </c>
      <c r="V242" s="243">
        <v>4500</v>
      </c>
      <c r="W242" s="505">
        <f t="shared" si="207"/>
        <v>8.4905660377358489E-4</v>
      </c>
      <c r="X242" s="427">
        <v>5000</v>
      </c>
      <c r="Y242" s="428">
        <f t="shared" si="198"/>
        <v>9.4339622641509435E-4</v>
      </c>
      <c r="Z242" s="520">
        <f t="shared" si="199"/>
        <v>0.1111</v>
      </c>
      <c r="AA242" s="379">
        <f>5000+5000</f>
        <v>10000</v>
      </c>
      <c r="AB242" s="505">
        <f t="shared" si="200"/>
        <v>1.8181818181818182E-3</v>
      </c>
      <c r="AC242" s="529">
        <f t="shared" si="153"/>
        <v>1</v>
      </c>
      <c r="AD242" s="427">
        <f t="shared" ref="AD242" si="209">ROUND(AA242*$AH$1,-1)</f>
        <v>10250</v>
      </c>
      <c r="AE242" s="428">
        <f t="shared" si="201"/>
        <v>1.7672413793103448E-3</v>
      </c>
      <c r="AF242" s="520">
        <f t="shared" si="154"/>
        <v>2.5000000000000001E-2</v>
      </c>
    </row>
    <row r="243" spans="1:32" ht="18" hidden="1" customHeight="1" x14ac:dyDescent="0.25">
      <c r="A243" s="101">
        <v>5</v>
      </c>
      <c r="B243" s="104"/>
      <c r="C243" s="75" t="s">
        <v>383</v>
      </c>
      <c r="D243" s="53"/>
      <c r="E243" s="54"/>
      <c r="F243" s="163"/>
      <c r="G243" s="164"/>
      <c r="H243" s="124"/>
      <c r="I243" s="54"/>
      <c r="J243" s="163"/>
      <c r="K243" s="164"/>
      <c r="L243" s="330"/>
      <c r="M243" s="211"/>
      <c r="N243" s="365">
        <f>17693-17870</f>
        <v>-177</v>
      </c>
      <c r="O243" s="244">
        <f t="shared" si="204"/>
        <v>-3.3462830074425495E-5</v>
      </c>
      <c r="P243" s="379">
        <v>44161</v>
      </c>
      <c r="Q243" s="244">
        <f t="shared" si="197"/>
        <v>9.0843525570556832E-3</v>
      </c>
      <c r="R243" s="427">
        <v>60246</v>
      </c>
      <c r="S243" s="428">
        <f t="shared" si="205"/>
        <v>1.1182076901046804E-2</v>
      </c>
      <c r="T243" s="575">
        <v>48852</v>
      </c>
      <c r="U243" s="505">
        <f t="shared" si="206"/>
        <v>1.0837225109565739E-2</v>
      </c>
      <c r="V243" s="243">
        <v>35000</v>
      </c>
      <c r="W243" s="505">
        <f t="shared" si="207"/>
        <v>6.6037735849056606E-3</v>
      </c>
      <c r="X243" s="427">
        <v>50000</v>
      </c>
      <c r="Y243" s="428">
        <f t="shared" si="198"/>
        <v>9.433962264150943E-3</v>
      </c>
      <c r="Z243" s="520">
        <f t="shared" si="199"/>
        <v>0.42859999999999998</v>
      </c>
      <c r="AA243" s="379">
        <v>0</v>
      </c>
      <c r="AB243" s="505">
        <f t="shared" si="200"/>
        <v>0</v>
      </c>
      <c r="AC243" s="529">
        <f t="shared" si="153"/>
        <v>-1</v>
      </c>
      <c r="AD243" s="427">
        <v>0</v>
      </c>
      <c r="AE243" s="428">
        <f t="shared" si="201"/>
        <v>0</v>
      </c>
      <c r="AF243" s="520" t="e">
        <f t="shared" si="154"/>
        <v>#DIV/0!</v>
      </c>
    </row>
    <row r="244" spans="1:32" ht="18" hidden="1" customHeight="1" x14ac:dyDescent="0.25">
      <c r="A244" s="101">
        <v>6</v>
      </c>
      <c r="B244" s="104" t="s">
        <v>163</v>
      </c>
      <c r="C244" s="75" t="s">
        <v>324</v>
      </c>
      <c r="D244" s="53">
        <v>1178</v>
      </c>
      <c r="E244" s="54">
        <f t="shared" si="202"/>
        <v>2.2378274742311508E-4</v>
      </c>
      <c r="F244" s="165">
        <v>1101</v>
      </c>
      <c r="G244" s="164">
        <f t="shared" si="203"/>
        <v>2.1537015204428528E-4</v>
      </c>
      <c r="H244" s="125">
        <f>144+5250</f>
        <v>5394</v>
      </c>
      <c r="I244" s="54">
        <f t="shared" si="194"/>
        <v>9.88817417265368E-4</v>
      </c>
      <c r="J244" s="165">
        <v>1734</v>
      </c>
      <c r="K244" s="164">
        <f t="shared" si="195"/>
        <v>3.1030385977558265E-4</v>
      </c>
      <c r="L244" s="329">
        <v>1306</v>
      </c>
      <c r="M244" s="211">
        <f t="shared" si="196"/>
        <v>2.5451620095008989E-4</v>
      </c>
      <c r="N244" s="243">
        <v>2134</v>
      </c>
      <c r="O244" s="244">
        <f t="shared" si="204"/>
        <v>4.0344451626454238E-4</v>
      </c>
      <c r="P244" s="379">
        <v>1100</v>
      </c>
      <c r="Q244" s="244">
        <f t="shared" si="197"/>
        <v>2.2628083179188088E-4</v>
      </c>
      <c r="R244" s="427">
        <v>872</v>
      </c>
      <c r="S244" s="428">
        <f t="shared" si="205"/>
        <v>1.6184926895914772E-4</v>
      </c>
      <c r="T244" s="575">
        <v>961</v>
      </c>
      <c r="U244" s="505">
        <f t="shared" si="206"/>
        <v>2.1318622226915325E-4</v>
      </c>
      <c r="V244" s="243">
        <v>1200</v>
      </c>
      <c r="W244" s="505">
        <f t="shared" si="207"/>
        <v>2.2641509433962264E-4</v>
      </c>
      <c r="X244" s="427">
        <v>1200</v>
      </c>
      <c r="Y244" s="428">
        <f t="shared" si="198"/>
        <v>2.2641509433962264E-4</v>
      </c>
      <c r="Z244" s="520">
        <f t="shared" si="199"/>
        <v>0</v>
      </c>
      <c r="AA244" s="573">
        <f t="shared" ref="AA244:AA263" si="210">ROUND(X244*$AH$1,-1)</f>
        <v>1230</v>
      </c>
      <c r="AB244" s="505">
        <f t="shared" si="200"/>
        <v>2.2363636363636363E-4</v>
      </c>
      <c r="AC244" s="529">
        <f t="shared" si="153"/>
        <v>2.5000000000000001E-2</v>
      </c>
      <c r="AD244" s="427">
        <f t="shared" ref="AD244:AD263" si="211">ROUND(AA244*$AH$1,-1)</f>
        <v>1260</v>
      </c>
      <c r="AE244" s="428">
        <f t="shared" si="201"/>
        <v>2.1724137931034481E-4</v>
      </c>
      <c r="AF244" s="520">
        <f t="shared" si="154"/>
        <v>2.4400000000000002E-2</v>
      </c>
    </row>
    <row r="245" spans="1:32" ht="18" hidden="1" customHeight="1" x14ac:dyDescent="0.25">
      <c r="A245" s="101">
        <v>7</v>
      </c>
      <c r="B245" s="104" t="s">
        <v>164</v>
      </c>
      <c r="C245" s="75" t="s">
        <v>270</v>
      </c>
      <c r="D245" s="53">
        <f>1519+774+13772</f>
        <v>16065</v>
      </c>
      <c r="E245" s="54">
        <f t="shared" si="202"/>
        <v>3.0518419671921424E-3</v>
      </c>
      <c r="F245" s="165">
        <f>1562+895+8143</f>
        <v>10600</v>
      </c>
      <c r="G245" s="164">
        <f t="shared" si="203"/>
        <v>2.0735001014254529E-3</v>
      </c>
      <c r="H245" s="125">
        <f>1547+578+12933</f>
        <v>15058</v>
      </c>
      <c r="I245" s="54">
        <f t="shared" si="194"/>
        <v>2.7604027936933466E-3</v>
      </c>
      <c r="J245" s="165">
        <v>16706</v>
      </c>
      <c r="K245" s="164">
        <f t="shared" si="195"/>
        <v>2.9895826305714442E-3</v>
      </c>
      <c r="L245" s="329">
        <v>14104</v>
      </c>
      <c r="M245" s="211">
        <f t="shared" si="196"/>
        <v>2.7486190644717208E-3</v>
      </c>
      <c r="N245" s="243">
        <v>14748</v>
      </c>
      <c r="O245" s="244">
        <f t="shared" si="204"/>
        <v>2.7881910617945037E-3</v>
      </c>
      <c r="P245" s="379">
        <v>14201</v>
      </c>
      <c r="Q245" s="244">
        <f t="shared" si="197"/>
        <v>2.9212855384331822E-3</v>
      </c>
      <c r="R245" s="427">
        <v>10168</v>
      </c>
      <c r="S245" s="428">
        <f t="shared" si="205"/>
        <v>1.8872515674043739E-3</v>
      </c>
      <c r="T245" s="575">
        <v>12117</v>
      </c>
      <c r="U245" s="505">
        <f t="shared" si="206"/>
        <v>2.6880098389545581E-3</v>
      </c>
      <c r="V245" s="243">
        <v>13000</v>
      </c>
      <c r="W245" s="505">
        <f t="shared" si="207"/>
        <v>2.4528301886792454E-3</v>
      </c>
      <c r="X245" s="427">
        <v>14000</v>
      </c>
      <c r="Y245" s="428">
        <f t="shared" si="198"/>
        <v>2.6415094339622643E-3</v>
      </c>
      <c r="Z245" s="520">
        <f t="shared" si="199"/>
        <v>7.6899999999999996E-2</v>
      </c>
      <c r="AA245" s="573">
        <f t="shared" si="210"/>
        <v>14350</v>
      </c>
      <c r="AB245" s="505">
        <f t="shared" si="200"/>
        <v>2.609090909090909E-3</v>
      </c>
      <c r="AC245" s="529">
        <f t="shared" si="153"/>
        <v>2.5000000000000001E-2</v>
      </c>
      <c r="AD245" s="427">
        <f t="shared" si="211"/>
        <v>14710</v>
      </c>
      <c r="AE245" s="428">
        <f t="shared" si="201"/>
        <v>2.536206896551724E-3</v>
      </c>
      <c r="AF245" s="520">
        <f t="shared" si="154"/>
        <v>2.5100000000000001E-2</v>
      </c>
    </row>
    <row r="246" spans="1:32" ht="18" hidden="1" customHeight="1" x14ac:dyDescent="0.25">
      <c r="A246" s="101">
        <v>8</v>
      </c>
      <c r="B246" s="104" t="s">
        <v>165</v>
      </c>
      <c r="C246" s="75" t="s">
        <v>325</v>
      </c>
      <c r="D246" s="53">
        <v>7006</v>
      </c>
      <c r="E246" s="54">
        <f t="shared" si="202"/>
        <v>1.3309184452006317E-3</v>
      </c>
      <c r="F246" s="165">
        <v>5630</v>
      </c>
      <c r="G246" s="164">
        <f t="shared" si="203"/>
        <v>1.1013024123608774E-3</v>
      </c>
      <c r="H246" s="125">
        <v>4773</v>
      </c>
      <c r="I246" s="54">
        <f t="shared" si="194"/>
        <v>8.7497692484382681E-4</v>
      </c>
      <c r="J246" s="165">
        <v>3143</v>
      </c>
      <c r="K246" s="164">
        <f t="shared" si="195"/>
        <v>5.6244811492194707E-4</v>
      </c>
      <c r="L246" s="329">
        <v>3636</v>
      </c>
      <c r="M246" s="211">
        <f t="shared" si="196"/>
        <v>7.0859181213976023E-4</v>
      </c>
      <c r="N246" s="243">
        <v>4352</v>
      </c>
      <c r="O246" s="244">
        <f t="shared" si="204"/>
        <v>8.2276969764915112E-4</v>
      </c>
      <c r="P246" s="379">
        <v>5001</v>
      </c>
      <c r="Q246" s="244">
        <f t="shared" si="197"/>
        <v>1.0287549452647239E-3</v>
      </c>
      <c r="R246" s="427">
        <v>3723</v>
      </c>
      <c r="S246" s="428">
        <f t="shared" si="205"/>
        <v>6.9101471139324194E-4</v>
      </c>
      <c r="T246" s="575">
        <v>2206</v>
      </c>
      <c r="U246" s="505">
        <f t="shared" si="206"/>
        <v>4.8937440824740072E-4</v>
      </c>
      <c r="V246" s="243">
        <v>3750</v>
      </c>
      <c r="W246" s="505">
        <f t="shared" si="207"/>
        <v>7.0754716981132071E-4</v>
      </c>
      <c r="X246" s="427">
        <v>3250</v>
      </c>
      <c r="Y246" s="428">
        <f t="shared" si="198"/>
        <v>6.1320754716981136E-4</v>
      </c>
      <c r="Z246" s="520">
        <f t="shared" si="199"/>
        <v>-0.1333</v>
      </c>
      <c r="AA246" s="573">
        <f t="shared" si="210"/>
        <v>3330</v>
      </c>
      <c r="AB246" s="505">
        <f t="shared" si="200"/>
        <v>6.0545454545454542E-4</v>
      </c>
      <c r="AC246" s="529">
        <f t="shared" si="153"/>
        <v>2.46E-2</v>
      </c>
      <c r="AD246" s="427">
        <f t="shared" si="211"/>
        <v>3410</v>
      </c>
      <c r="AE246" s="428">
        <f t="shared" si="201"/>
        <v>5.8793103448275864E-4</v>
      </c>
      <c r="AF246" s="520">
        <f t="shared" si="154"/>
        <v>2.4E-2</v>
      </c>
    </row>
    <row r="247" spans="1:32" ht="18" hidden="1" customHeight="1" x14ac:dyDescent="0.25">
      <c r="A247" s="101">
        <v>9</v>
      </c>
      <c r="B247" s="104" t="s">
        <v>166</v>
      </c>
      <c r="C247" s="75" t="s">
        <v>382</v>
      </c>
      <c r="D247" s="53">
        <v>4513</v>
      </c>
      <c r="E247" s="54">
        <f t="shared" si="202"/>
        <v>8.5732728278482026E-4</v>
      </c>
      <c r="F247" s="165">
        <v>3094</v>
      </c>
      <c r="G247" s="164">
        <f t="shared" si="203"/>
        <v>6.0522729375569355E-4</v>
      </c>
      <c r="H247" s="125">
        <v>3766</v>
      </c>
      <c r="I247" s="54">
        <f t="shared" si="194"/>
        <v>6.9037567545817129E-4</v>
      </c>
      <c r="J247" s="165">
        <v>3288</v>
      </c>
      <c r="K247" s="164">
        <f t="shared" si="195"/>
        <v>5.8839624621805987E-4</v>
      </c>
      <c r="L247" s="329">
        <v>4879</v>
      </c>
      <c r="M247" s="211">
        <f t="shared" si="196"/>
        <v>9.5083043218643839E-4</v>
      </c>
      <c r="N247" s="243">
        <v>9736</v>
      </c>
      <c r="O247" s="244">
        <f t="shared" si="204"/>
        <v>1.8406447096305457E-3</v>
      </c>
      <c r="P247" s="379">
        <v>1781</v>
      </c>
      <c r="Q247" s="244">
        <f t="shared" si="197"/>
        <v>3.6636923765576352E-4</v>
      </c>
      <c r="R247" s="427">
        <v>0</v>
      </c>
      <c r="S247" s="428">
        <f t="shared" si="205"/>
        <v>0</v>
      </c>
      <c r="T247" s="575">
        <v>4048</v>
      </c>
      <c r="U247" s="505">
        <f t="shared" si="206"/>
        <v>8.9799982075497648E-4</v>
      </c>
      <c r="V247" s="243">
        <v>4050</v>
      </c>
      <c r="W247" s="505">
        <f t="shared" si="207"/>
        <v>7.6415094339622638E-4</v>
      </c>
      <c r="X247" s="427">
        <v>1500</v>
      </c>
      <c r="Y247" s="428">
        <f t="shared" si="198"/>
        <v>2.8301886792452831E-4</v>
      </c>
      <c r="Z247" s="520">
        <f t="shared" si="199"/>
        <v>-0.62960000000000005</v>
      </c>
      <c r="AA247" s="573">
        <f t="shared" si="210"/>
        <v>1540</v>
      </c>
      <c r="AB247" s="505">
        <f t="shared" si="200"/>
        <v>2.7999999999999998E-4</v>
      </c>
      <c r="AC247" s="529">
        <f t="shared" si="153"/>
        <v>2.6700000000000002E-2</v>
      </c>
      <c r="AD247" s="427">
        <f t="shared" si="211"/>
        <v>1580</v>
      </c>
      <c r="AE247" s="428">
        <f t="shared" si="201"/>
        <v>2.7241379310344825E-4</v>
      </c>
      <c r="AF247" s="520">
        <f t="shared" si="154"/>
        <v>2.5999999999999999E-2</v>
      </c>
    </row>
    <row r="248" spans="1:32" ht="18" hidden="1" customHeight="1" x14ac:dyDescent="0.25">
      <c r="A248" s="101">
        <v>10</v>
      </c>
      <c r="B248" s="104" t="s">
        <v>167</v>
      </c>
      <c r="C248" s="75" t="s">
        <v>231</v>
      </c>
      <c r="D248" s="53">
        <f>199+908+1154+618</f>
        <v>2879</v>
      </c>
      <c r="E248" s="54">
        <f t="shared" si="202"/>
        <v>5.469189557140478E-4</v>
      </c>
      <c r="F248" s="165">
        <f>199+465+1498+948</f>
        <v>3110</v>
      </c>
      <c r="G248" s="164">
        <f t="shared" si="203"/>
        <v>6.083571052295433E-4</v>
      </c>
      <c r="H248" s="125">
        <f>734+1089+958</f>
        <v>2781</v>
      </c>
      <c r="I248" s="54">
        <f t="shared" si="194"/>
        <v>5.0980742258342391E-4</v>
      </c>
      <c r="J248" s="165">
        <v>2934</v>
      </c>
      <c r="K248" s="164">
        <f t="shared" si="195"/>
        <v>5.2504701532961914E-4</v>
      </c>
      <c r="L248" s="329">
        <v>1900</v>
      </c>
      <c r="M248" s="211">
        <f t="shared" si="196"/>
        <v>3.7027624946797151E-4</v>
      </c>
      <c r="N248" s="243">
        <v>923</v>
      </c>
      <c r="O248" s="244">
        <f t="shared" si="204"/>
        <v>1.7449826078358606E-4</v>
      </c>
      <c r="P248" s="379">
        <v>1835</v>
      </c>
      <c r="Q248" s="244">
        <f t="shared" si="197"/>
        <v>3.7747756939827401E-4</v>
      </c>
      <c r="R248" s="427">
        <v>1074</v>
      </c>
      <c r="S248" s="428">
        <f t="shared" si="205"/>
        <v>1.9934187484188607E-4</v>
      </c>
      <c r="T248" s="575">
        <v>814</v>
      </c>
      <c r="U248" s="505">
        <f t="shared" si="206"/>
        <v>1.805760509126855E-4</v>
      </c>
      <c r="V248" s="243">
        <v>1500</v>
      </c>
      <c r="W248" s="505">
        <f t="shared" si="207"/>
        <v>2.8301886792452831E-4</v>
      </c>
      <c r="X248" s="427">
        <v>1500</v>
      </c>
      <c r="Y248" s="428">
        <f t="shared" si="198"/>
        <v>2.8301886792452831E-4</v>
      </c>
      <c r="Z248" s="520">
        <f t="shared" si="199"/>
        <v>0</v>
      </c>
      <c r="AA248" s="573">
        <f t="shared" si="210"/>
        <v>1540</v>
      </c>
      <c r="AB248" s="505">
        <f t="shared" si="200"/>
        <v>2.7999999999999998E-4</v>
      </c>
      <c r="AC248" s="529">
        <f t="shared" si="153"/>
        <v>2.6700000000000002E-2</v>
      </c>
      <c r="AD248" s="427">
        <f t="shared" si="211"/>
        <v>1580</v>
      </c>
      <c r="AE248" s="428">
        <f t="shared" si="201"/>
        <v>2.7241379310344825E-4</v>
      </c>
      <c r="AF248" s="520">
        <f t="shared" si="154"/>
        <v>2.5999999999999999E-2</v>
      </c>
    </row>
    <row r="249" spans="1:32" ht="18" hidden="1" customHeight="1" x14ac:dyDescent="0.25">
      <c r="A249" s="101">
        <v>11</v>
      </c>
      <c r="B249" s="104" t="s">
        <v>168</v>
      </c>
      <c r="C249" s="75" t="s">
        <v>271</v>
      </c>
      <c r="D249" s="53">
        <v>11268</v>
      </c>
      <c r="E249" s="54">
        <f t="shared" si="202"/>
        <v>2.1405636655039565E-3</v>
      </c>
      <c r="F249" s="165">
        <v>12424</v>
      </c>
      <c r="G249" s="164">
        <f t="shared" si="203"/>
        <v>2.4302986094443236E-3</v>
      </c>
      <c r="H249" s="125">
        <v>13180</v>
      </c>
      <c r="I249" s="54">
        <f t="shared" si="194"/>
        <v>2.4161315460803764E-3</v>
      </c>
      <c r="J249" s="165">
        <v>14638</v>
      </c>
      <c r="K249" s="164">
        <f t="shared" si="195"/>
        <v>2.6195085924999879E-3</v>
      </c>
      <c r="L249" s="329">
        <v>14266</v>
      </c>
      <c r="M249" s="211">
        <f t="shared" si="196"/>
        <v>2.7801899867947798E-3</v>
      </c>
      <c r="N249" s="243">
        <v>14185</v>
      </c>
      <c r="O249" s="244">
        <f t="shared" si="204"/>
        <v>2.6817527943826308E-3</v>
      </c>
      <c r="P249" s="379">
        <v>14316</v>
      </c>
      <c r="Q249" s="244">
        <f t="shared" si="197"/>
        <v>2.944942170847788E-3</v>
      </c>
      <c r="R249" s="427">
        <v>11761</v>
      </c>
      <c r="S249" s="428">
        <f t="shared" si="205"/>
        <v>2.1829234543905233E-3</v>
      </c>
      <c r="T249" s="575">
        <v>13933</v>
      </c>
      <c r="U249" s="505">
        <f t="shared" si="206"/>
        <v>3.0908674660521463E-3</v>
      </c>
      <c r="V249" s="243">
        <v>14000</v>
      </c>
      <c r="W249" s="505">
        <f t="shared" si="207"/>
        <v>2.6415094339622643E-3</v>
      </c>
      <c r="X249" s="427">
        <v>14350</v>
      </c>
      <c r="Y249" s="428">
        <f t="shared" si="198"/>
        <v>2.7075471698113206E-3</v>
      </c>
      <c r="Z249" s="520">
        <f t="shared" si="199"/>
        <v>2.5000000000000001E-2</v>
      </c>
      <c r="AA249" s="573">
        <f t="shared" si="210"/>
        <v>14710</v>
      </c>
      <c r="AB249" s="505">
        <f t="shared" si="200"/>
        <v>2.6745454545454546E-3</v>
      </c>
      <c r="AC249" s="529">
        <f t="shared" si="153"/>
        <v>2.5100000000000001E-2</v>
      </c>
      <c r="AD249" s="427">
        <f t="shared" si="211"/>
        <v>15080</v>
      </c>
      <c r="AE249" s="428">
        <f t="shared" si="201"/>
        <v>2.5999999999999999E-3</v>
      </c>
      <c r="AF249" s="520">
        <f t="shared" si="154"/>
        <v>2.52E-2</v>
      </c>
    </row>
    <row r="250" spans="1:32" ht="18" hidden="1" customHeight="1" x14ac:dyDescent="0.25">
      <c r="A250" s="101">
        <v>12</v>
      </c>
      <c r="B250" s="104" t="s">
        <v>169</v>
      </c>
      <c r="C250" s="75" t="s">
        <v>272</v>
      </c>
      <c r="D250" s="53">
        <v>13696</v>
      </c>
      <c r="E250" s="54">
        <f t="shared" si="202"/>
        <v>2.6018068834524483E-3</v>
      </c>
      <c r="F250" s="165">
        <v>16294</v>
      </c>
      <c r="G250" s="164">
        <f t="shared" si="203"/>
        <v>3.1873217596817293E-3</v>
      </c>
      <c r="H250" s="125">
        <v>11097</v>
      </c>
      <c r="I250" s="54">
        <f t="shared" si="194"/>
        <v>2.034280103706672E-3</v>
      </c>
      <c r="J250" s="165">
        <v>10118</v>
      </c>
      <c r="K250" s="164">
        <f t="shared" si="195"/>
        <v>1.8106427065797839E-3</v>
      </c>
      <c r="L250" s="329">
        <v>10782</v>
      </c>
      <c r="M250" s="211">
        <f t="shared" si="196"/>
        <v>2.1012202746124573E-3</v>
      </c>
      <c r="N250" s="243">
        <v>9043</v>
      </c>
      <c r="O250" s="244">
        <f t="shared" si="204"/>
        <v>1.7096292223899986E-3</v>
      </c>
      <c r="P250" s="379">
        <v>10370</v>
      </c>
      <c r="Q250" s="244">
        <f t="shared" si="197"/>
        <v>2.133211114256186E-3</v>
      </c>
      <c r="R250" s="427">
        <v>9498</v>
      </c>
      <c r="S250" s="428">
        <f t="shared" si="205"/>
        <v>1.7628949043279646E-3</v>
      </c>
      <c r="T250" s="575">
        <v>7254</v>
      </c>
      <c r="U250" s="505">
        <f t="shared" si="206"/>
        <v>1.6092121293865118E-3</v>
      </c>
      <c r="V250" s="243">
        <v>10000</v>
      </c>
      <c r="W250" s="505">
        <f t="shared" si="207"/>
        <v>1.8867924528301887E-3</v>
      </c>
      <c r="X250" s="427">
        <v>10250</v>
      </c>
      <c r="Y250" s="428">
        <f t="shared" si="198"/>
        <v>1.9339622641509433E-3</v>
      </c>
      <c r="Z250" s="520">
        <f t="shared" si="199"/>
        <v>2.5000000000000001E-2</v>
      </c>
      <c r="AA250" s="573">
        <f t="shared" si="210"/>
        <v>10510</v>
      </c>
      <c r="AB250" s="505">
        <f t="shared" si="200"/>
        <v>1.9109090909090909E-3</v>
      </c>
      <c r="AC250" s="529">
        <f t="shared" si="153"/>
        <v>2.5399999999999999E-2</v>
      </c>
      <c r="AD250" s="427">
        <f t="shared" si="211"/>
        <v>10770</v>
      </c>
      <c r="AE250" s="428">
        <f t="shared" si="201"/>
        <v>1.856896551724138E-3</v>
      </c>
      <c r="AF250" s="520">
        <f t="shared" si="154"/>
        <v>2.47E-2</v>
      </c>
    </row>
    <row r="251" spans="1:32" ht="18" hidden="1" customHeight="1" x14ac:dyDescent="0.25">
      <c r="A251" s="101">
        <v>13</v>
      </c>
      <c r="B251" s="104" t="s">
        <v>170</v>
      </c>
      <c r="C251" s="75" t="s">
        <v>273</v>
      </c>
      <c r="D251" s="53">
        <v>2084</v>
      </c>
      <c r="E251" s="54">
        <f t="shared" si="202"/>
        <v>3.9589409645990814E-4</v>
      </c>
      <c r="F251" s="165">
        <v>1721</v>
      </c>
      <c r="G251" s="164">
        <f t="shared" si="203"/>
        <v>3.3665034665596269E-4</v>
      </c>
      <c r="H251" s="125">
        <v>1592</v>
      </c>
      <c r="I251" s="54">
        <f t="shared" si="194"/>
        <v>2.9184229297116534E-4</v>
      </c>
      <c r="J251" s="165">
        <v>1233</v>
      </c>
      <c r="K251" s="164">
        <f t="shared" si="195"/>
        <v>2.2064859233177244E-4</v>
      </c>
      <c r="L251" s="329">
        <v>1690</v>
      </c>
      <c r="M251" s="211">
        <f t="shared" si="196"/>
        <v>3.2935097978993252E-4</v>
      </c>
      <c r="N251" s="243">
        <v>804</v>
      </c>
      <c r="O251" s="244">
        <f t="shared" si="204"/>
        <v>1.5200065186349207E-4</v>
      </c>
      <c r="P251" s="379">
        <v>0</v>
      </c>
      <c r="Q251" s="244">
        <f t="shared" si="197"/>
        <v>0</v>
      </c>
      <c r="R251" s="427">
        <v>0</v>
      </c>
      <c r="S251" s="428">
        <f t="shared" si="205"/>
        <v>0</v>
      </c>
      <c r="T251" s="575">
        <v>0</v>
      </c>
      <c r="U251" s="505">
        <f t="shared" si="206"/>
        <v>0</v>
      </c>
      <c r="V251" s="243">
        <v>0</v>
      </c>
      <c r="W251" s="505">
        <f t="shared" si="207"/>
        <v>0</v>
      </c>
      <c r="X251" s="427">
        <v>0</v>
      </c>
      <c r="Y251" s="428">
        <f t="shared" si="198"/>
        <v>0</v>
      </c>
      <c r="Z251" s="520" t="e">
        <f t="shared" si="199"/>
        <v>#DIV/0!</v>
      </c>
      <c r="AA251" s="573">
        <f t="shared" si="210"/>
        <v>0</v>
      </c>
      <c r="AB251" s="505">
        <f t="shared" si="200"/>
        <v>0</v>
      </c>
      <c r="AC251" s="529" t="e">
        <f t="shared" si="153"/>
        <v>#DIV/0!</v>
      </c>
      <c r="AD251" s="427">
        <f t="shared" si="211"/>
        <v>0</v>
      </c>
      <c r="AE251" s="428">
        <f t="shared" si="201"/>
        <v>0</v>
      </c>
      <c r="AF251" s="520" t="e">
        <f t="shared" si="154"/>
        <v>#DIV/0!</v>
      </c>
    </row>
    <row r="252" spans="1:32" ht="18" hidden="1" customHeight="1" x14ac:dyDescent="0.25">
      <c r="A252" s="101">
        <v>13</v>
      </c>
      <c r="B252" s="104" t="s">
        <v>171</v>
      </c>
      <c r="C252" s="75" t="s">
        <v>219</v>
      </c>
      <c r="D252" s="53">
        <v>20508</v>
      </c>
      <c r="E252" s="54">
        <f t="shared" si="202"/>
        <v>3.8958714636275413E-3</v>
      </c>
      <c r="F252" s="165">
        <v>15083</v>
      </c>
      <c r="G252" s="164">
        <f t="shared" si="203"/>
        <v>2.9504341537547273E-3</v>
      </c>
      <c r="H252" s="125">
        <v>17602</v>
      </c>
      <c r="I252" s="54">
        <f t="shared" si="194"/>
        <v>3.2267638447728976E-3</v>
      </c>
      <c r="J252" s="165">
        <v>12507</v>
      </c>
      <c r="K252" s="164">
        <f t="shared" si="195"/>
        <v>2.2381605387619447E-3</v>
      </c>
      <c r="L252" s="329">
        <v>10413</v>
      </c>
      <c r="M252" s="211">
        <f t="shared" si="196"/>
        <v>2.0293087293210459E-3</v>
      </c>
      <c r="N252" s="243">
        <v>12402</v>
      </c>
      <c r="O252" s="244">
        <f t="shared" si="204"/>
        <v>2.3446667716555082E-3</v>
      </c>
      <c r="P252" s="379">
        <v>9940</v>
      </c>
      <c r="Q252" s="244">
        <f t="shared" si="197"/>
        <v>2.0447558800102692E-3</v>
      </c>
      <c r="R252" s="427">
        <v>15207</v>
      </c>
      <c r="S252" s="428">
        <f t="shared" si="205"/>
        <v>2.8225250379148616E-3</v>
      </c>
      <c r="T252" s="575">
        <v>9513</v>
      </c>
      <c r="U252" s="505">
        <f t="shared" si="206"/>
        <v>2.1103439463542716E-3</v>
      </c>
      <c r="V252" s="243">
        <v>12000</v>
      </c>
      <c r="W252" s="505">
        <f t="shared" si="207"/>
        <v>2.2641509433962265E-3</v>
      </c>
      <c r="X252" s="427">
        <v>12000</v>
      </c>
      <c r="Y252" s="428">
        <f t="shared" si="198"/>
        <v>2.2641509433962265E-3</v>
      </c>
      <c r="Z252" s="520">
        <f t="shared" si="199"/>
        <v>0</v>
      </c>
      <c r="AA252" s="573">
        <f t="shared" si="210"/>
        <v>12300</v>
      </c>
      <c r="AB252" s="505">
        <f t="shared" si="200"/>
        <v>2.2363636363636362E-3</v>
      </c>
      <c r="AC252" s="529">
        <f t="shared" si="153"/>
        <v>2.5000000000000001E-2</v>
      </c>
      <c r="AD252" s="427">
        <f t="shared" si="211"/>
        <v>12610</v>
      </c>
      <c r="AE252" s="428">
        <f t="shared" si="201"/>
        <v>2.1741379310344826E-3</v>
      </c>
      <c r="AF252" s="520">
        <f t="shared" si="154"/>
        <v>2.52E-2</v>
      </c>
    </row>
    <row r="253" spans="1:32" ht="18" hidden="1" customHeight="1" x14ac:dyDescent="0.25">
      <c r="A253" s="101">
        <v>14</v>
      </c>
      <c r="B253" s="104" t="s">
        <v>172</v>
      </c>
      <c r="C253" s="75" t="s">
        <v>220</v>
      </c>
      <c r="D253" s="53">
        <f>7702+692+2441</f>
        <v>10835</v>
      </c>
      <c r="E253" s="54">
        <f t="shared" si="202"/>
        <v>2.058307358513966E-3</v>
      </c>
      <c r="F253" s="165">
        <f>7500+582+2435</f>
        <v>10517</v>
      </c>
      <c r="G253" s="164">
        <f t="shared" si="203"/>
        <v>2.0572642044048577E-3</v>
      </c>
      <c r="H253" s="125">
        <f>7193+324+2428</f>
        <v>9945</v>
      </c>
      <c r="I253" s="54">
        <f t="shared" si="194"/>
        <v>1.8230977409536681E-3</v>
      </c>
      <c r="J253" s="165">
        <f>6929+234+2430</f>
        <v>9593</v>
      </c>
      <c r="K253" s="164">
        <f t="shared" si="195"/>
        <v>1.7166925760248931E-3</v>
      </c>
      <c r="L253" s="329">
        <f>6927+2430</f>
        <v>9357</v>
      </c>
      <c r="M253" s="211">
        <f t="shared" si="196"/>
        <v>1.8235130875114787E-3</v>
      </c>
      <c r="N253" s="243">
        <v>8350</v>
      </c>
      <c r="O253" s="244">
        <f t="shared" si="204"/>
        <v>1.5786137351494513E-3</v>
      </c>
      <c r="P253" s="379">
        <v>7978</v>
      </c>
      <c r="Q253" s="244">
        <f t="shared" si="197"/>
        <v>1.6411531600323869E-3</v>
      </c>
      <c r="R253" s="427">
        <v>8254</v>
      </c>
      <c r="S253" s="428">
        <f t="shared" si="205"/>
        <v>1.5319998463174372E-3</v>
      </c>
      <c r="T253" s="575">
        <v>6218</v>
      </c>
      <c r="U253" s="505">
        <f t="shared" si="206"/>
        <v>1.3793880645885483E-3</v>
      </c>
      <c r="V253" s="243">
        <v>8400</v>
      </c>
      <c r="W253" s="505">
        <f t="shared" si="207"/>
        <v>1.5849056603773584E-3</v>
      </c>
      <c r="X253" s="427">
        <v>8500</v>
      </c>
      <c r="Y253" s="428">
        <f t="shared" si="198"/>
        <v>1.6037735849056603E-3</v>
      </c>
      <c r="Z253" s="520">
        <f t="shared" si="199"/>
        <v>1.1900000000000001E-2</v>
      </c>
      <c r="AA253" s="573">
        <f t="shared" si="210"/>
        <v>8710</v>
      </c>
      <c r="AB253" s="505">
        <f t="shared" si="200"/>
        <v>1.5836363636363637E-3</v>
      </c>
      <c r="AC253" s="529">
        <f t="shared" si="153"/>
        <v>2.47E-2</v>
      </c>
      <c r="AD253" s="427">
        <f t="shared" si="211"/>
        <v>8930</v>
      </c>
      <c r="AE253" s="428">
        <f t="shared" si="201"/>
        <v>1.5396551724137931E-3</v>
      </c>
      <c r="AF253" s="520">
        <f t="shared" si="154"/>
        <v>2.53E-2</v>
      </c>
    </row>
    <row r="254" spans="1:32" ht="18" hidden="1" customHeight="1" x14ac:dyDescent="0.25">
      <c r="A254" s="101">
        <v>15</v>
      </c>
      <c r="B254" s="104" t="s">
        <v>173</v>
      </c>
      <c r="C254" s="75" t="s">
        <v>274</v>
      </c>
      <c r="D254" s="53">
        <v>32132</v>
      </c>
      <c r="E254" s="54">
        <f t="shared" si="202"/>
        <v>6.104063871137125E-3</v>
      </c>
      <c r="F254" s="165">
        <v>39436</v>
      </c>
      <c r="G254" s="164">
        <f t="shared" si="203"/>
        <v>7.7142028301711478E-3</v>
      </c>
      <c r="H254" s="125">
        <v>41999</v>
      </c>
      <c r="I254" s="54">
        <f t="shared" si="194"/>
        <v>7.6991736573467171E-3</v>
      </c>
      <c r="J254" s="165">
        <v>44279</v>
      </c>
      <c r="K254" s="164">
        <f t="shared" si="195"/>
        <v>7.9238434873143172E-3</v>
      </c>
      <c r="L254" s="329">
        <v>49528</v>
      </c>
      <c r="M254" s="211">
        <f t="shared" si="196"/>
        <v>9.6521274124472065E-3</v>
      </c>
      <c r="N254" s="243">
        <v>33283</v>
      </c>
      <c r="O254" s="244">
        <f t="shared" si="204"/>
        <v>6.2923354427519979E-3</v>
      </c>
      <c r="P254" s="379">
        <v>35731</v>
      </c>
      <c r="Q254" s="244">
        <f t="shared" si="197"/>
        <v>7.3502185461415412E-3</v>
      </c>
      <c r="R254" s="427">
        <v>33822</v>
      </c>
      <c r="S254" s="428">
        <f t="shared" si="205"/>
        <v>6.2775985948810712E-3</v>
      </c>
      <c r="T254" s="575">
        <v>29892</v>
      </c>
      <c r="U254" s="505">
        <f t="shared" si="206"/>
        <v>6.6311785182825485E-3</v>
      </c>
      <c r="V254" s="243">
        <v>31500</v>
      </c>
      <c r="W254" s="505">
        <f t="shared" si="207"/>
        <v>5.9433962264150942E-3</v>
      </c>
      <c r="X254" s="427">
        <v>32000</v>
      </c>
      <c r="Y254" s="428">
        <f t="shared" si="198"/>
        <v>6.0377358490566035E-3</v>
      </c>
      <c r="Z254" s="520">
        <f t="shared" si="199"/>
        <v>1.5900000000000001E-2</v>
      </c>
      <c r="AA254" s="573">
        <f t="shared" si="210"/>
        <v>32800</v>
      </c>
      <c r="AB254" s="505">
        <f t="shared" si="200"/>
        <v>5.9636363636363637E-3</v>
      </c>
      <c r="AC254" s="529">
        <f t="shared" si="153"/>
        <v>2.5000000000000001E-2</v>
      </c>
      <c r="AD254" s="427">
        <f t="shared" si="211"/>
        <v>33620</v>
      </c>
      <c r="AE254" s="428">
        <f t="shared" si="201"/>
        <v>5.7965517241379307E-3</v>
      </c>
      <c r="AF254" s="520">
        <f t="shared" si="154"/>
        <v>2.5000000000000001E-2</v>
      </c>
    </row>
    <row r="255" spans="1:32" ht="18" hidden="1" customHeight="1" x14ac:dyDescent="0.25">
      <c r="A255" s="101">
        <v>16</v>
      </c>
      <c r="B255" s="104" t="s">
        <v>174</v>
      </c>
      <c r="C255" s="75" t="s">
        <v>221</v>
      </c>
      <c r="D255" s="53">
        <v>7802</v>
      </c>
      <c r="E255" s="54">
        <f t="shared" si="202"/>
        <v>1.4821332728311917E-3</v>
      </c>
      <c r="F255" s="165">
        <v>5776</v>
      </c>
      <c r="G255" s="164">
        <f t="shared" si="203"/>
        <v>1.1298619420597564E-3</v>
      </c>
      <c r="H255" s="125">
        <v>5443</v>
      </c>
      <c r="I255" s="54">
        <f t="shared" si="194"/>
        <v>9.9780000040329965E-4</v>
      </c>
      <c r="J255" s="165">
        <v>6809</v>
      </c>
      <c r="K255" s="164">
        <f t="shared" si="195"/>
        <v>1.2184884551395285E-3</v>
      </c>
      <c r="L255" s="329">
        <v>2942</v>
      </c>
      <c r="M255" s="211">
        <f t="shared" si="196"/>
        <v>5.7334353996566954E-4</v>
      </c>
      <c r="N255" s="245">
        <v>6403</v>
      </c>
      <c r="O255" s="244">
        <f t="shared" si="204"/>
        <v>1.2105226043307709E-3</v>
      </c>
      <c r="P255" s="380">
        <v>5450</v>
      </c>
      <c r="Q255" s="244">
        <f t="shared" si="197"/>
        <v>1.121118666605228E-3</v>
      </c>
      <c r="R255" s="429">
        <v>4014</v>
      </c>
      <c r="S255" s="428">
        <f t="shared" si="205"/>
        <v>7.4502633669956307E-4</v>
      </c>
      <c r="T255" s="575">
        <v>3183</v>
      </c>
      <c r="U255" s="505">
        <f t="shared" si="206"/>
        <v>7.0611003692270017E-4</v>
      </c>
      <c r="V255" s="243">
        <v>4000</v>
      </c>
      <c r="W255" s="505">
        <f t="shared" si="207"/>
        <v>7.5471698113207543E-4</v>
      </c>
      <c r="X255" s="427">
        <v>4000</v>
      </c>
      <c r="Y255" s="428">
        <f t="shared" si="198"/>
        <v>7.5471698113207543E-4</v>
      </c>
      <c r="Z255" s="520">
        <f t="shared" si="199"/>
        <v>0</v>
      </c>
      <c r="AA255" s="573">
        <f t="shared" si="210"/>
        <v>4100</v>
      </c>
      <c r="AB255" s="505">
        <f t="shared" si="200"/>
        <v>7.4545454545454546E-4</v>
      </c>
      <c r="AC255" s="529">
        <f t="shared" si="153"/>
        <v>2.5000000000000001E-2</v>
      </c>
      <c r="AD255" s="427">
        <f t="shared" si="211"/>
        <v>4200</v>
      </c>
      <c r="AE255" s="428">
        <f t="shared" si="201"/>
        <v>7.2413793103448271E-4</v>
      </c>
      <c r="AF255" s="520">
        <f t="shared" si="154"/>
        <v>2.4400000000000002E-2</v>
      </c>
    </row>
    <row r="256" spans="1:32" ht="18" hidden="1" customHeight="1" x14ac:dyDescent="0.25">
      <c r="A256" s="101">
        <v>17</v>
      </c>
      <c r="B256" s="104" t="s">
        <v>175</v>
      </c>
      <c r="C256" s="75" t="s">
        <v>275</v>
      </c>
      <c r="D256" s="53">
        <v>17925</v>
      </c>
      <c r="E256" s="54">
        <f t="shared" si="202"/>
        <v>3.4051831473339029E-3</v>
      </c>
      <c r="F256" s="165">
        <v>13640</v>
      </c>
      <c r="G256" s="164">
        <f t="shared" si="203"/>
        <v>2.6681642814569036E-3</v>
      </c>
      <c r="H256" s="125">
        <v>11698</v>
      </c>
      <c r="I256" s="54">
        <f t="shared" si="194"/>
        <v>2.1444542356637516E-3</v>
      </c>
      <c r="J256" s="165">
        <v>13166</v>
      </c>
      <c r="K256" s="164">
        <f t="shared" si="195"/>
        <v>2.3560903216870367E-3</v>
      </c>
      <c r="L256" s="329">
        <v>5085</v>
      </c>
      <c r="M256" s="211">
        <f t="shared" si="196"/>
        <v>9.9097617291822896E-4</v>
      </c>
      <c r="N256" s="243">
        <v>6852</v>
      </c>
      <c r="O256" s="244">
        <f t="shared" si="204"/>
        <v>1.2954085405082682E-3</v>
      </c>
      <c r="P256" s="379">
        <v>806</v>
      </c>
      <c r="Q256" s="244">
        <f t="shared" si="197"/>
        <v>1.6580213674932364E-4</v>
      </c>
      <c r="R256" s="427">
        <v>8250</v>
      </c>
      <c r="S256" s="428">
        <f t="shared" si="205"/>
        <v>1.5312574184781751E-3</v>
      </c>
      <c r="T256" s="575">
        <v>534</v>
      </c>
      <c r="U256" s="505">
        <f t="shared" si="206"/>
        <v>1.1846143880512783E-4</v>
      </c>
      <c r="V256" s="243">
        <v>10000</v>
      </c>
      <c r="W256" s="505">
        <f t="shared" si="207"/>
        <v>1.8867924528301887E-3</v>
      </c>
      <c r="X256" s="427">
        <v>10000</v>
      </c>
      <c r="Y256" s="428">
        <f t="shared" si="198"/>
        <v>1.8867924528301887E-3</v>
      </c>
      <c r="Z256" s="520">
        <f t="shared" si="199"/>
        <v>0</v>
      </c>
      <c r="AA256" s="573">
        <f t="shared" si="210"/>
        <v>10250</v>
      </c>
      <c r="AB256" s="505">
        <f t="shared" si="200"/>
        <v>1.8636363636363635E-3</v>
      </c>
      <c r="AC256" s="529">
        <f t="shared" si="153"/>
        <v>2.5000000000000001E-2</v>
      </c>
      <c r="AD256" s="427">
        <f t="shared" si="211"/>
        <v>10510</v>
      </c>
      <c r="AE256" s="428">
        <f t="shared" si="201"/>
        <v>1.8120689655172415E-3</v>
      </c>
      <c r="AF256" s="520">
        <f t="shared" si="154"/>
        <v>2.5399999999999999E-2</v>
      </c>
    </row>
    <row r="257" spans="1:32" ht="18" hidden="1" customHeight="1" x14ac:dyDescent="0.25">
      <c r="A257" s="101">
        <v>18</v>
      </c>
      <c r="B257" s="104" t="s">
        <v>176</v>
      </c>
      <c r="C257" s="75" t="s">
        <v>284</v>
      </c>
      <c r="D257" s="53">
        <v>3052</v>
      </c>
      <c r="E257" s="54">
        <f t="shared" si="202"/>
        <v>5.7978348483475996E-4</v>
      </c>
      <c r="F257" s="165">
        <v>2159</v>
      </c>
      <c r="G257" s="164">
        <f t="shared" si="203"/>
        <v>4.2232893575259935E-4</v>
      </c>
      <c r="H257" s="125">
        <v>2660</v>
      </c>
      <c r="I257" s="54">
        <f t="shared" si="194"/>
        <v>4.8762594177342958E-4</v>
      </c>
      <c r="J257" s="165">
        <v>2794</v>
      </c>
      <c r="K257" s="164">
        <f t="shared" si="195"/>
        <v>4.9999364718164823E-4</v>
      </c>
      <c r="L257" s="329">
        <v>2524</v>
      </c>
      <c r="M257" s="211">
        <f t="shared" si="196"/>
        <v>4.9188276508271584E-4</v>
      </c>
      <c r="N257" s="243">
        <v>5044</v>
      </c>
      <c r="O257" s="244">
        <f t="shared" si="204"/>
        <v>9.5359612935255473E-4</v>
      </c>
      <c r="P257" s="379">
        <v>1926</v>
      </c>
      <c r="Q257" s="244">
        <f t="shared" si="197"/>
        <v>3.9619716548287506E-4</v>
      </c>
      <c r="R257" s="427">
        <v>1024</v>
      </c>
      <c r="S257" s="428">
        <f t="shared" si="205"/>
        <v>1.9006152685110926E-4</v>
      </c>
      <c r="T257" s="575">
        <v>1107</v>
      </c>
      <c r="U257" s="505">
        <f t="shared" si="206"/>
        <v>2.4557455572523691E-4</v>
      </c>
      <c r="V257" s="243">
        <v>1500</v>
      </c>
      <c r="W257" s="505">
        <f t="shared" si="207"/>
        <v>2.8301886792452831E-4</v>
      </c>
      <c r="X257" s="427">
        <v>1500</v>
      </c>
      <c r="Y257" s="428">
        <f t="shared" si="198"/>
        <v>2.8301886792452831E-4</v>
      </c>
      <c r="Z257" s="520">
        <f t="shared" si="199"/>
        <v>0</v>
      </c>
      <c r="AA257" s="573">
        <f t="shared" si="210"/>
        <v>1540</v>
      </c>
      <c r="AB257" s="505">
        <f t="shared" si="200"/>
        <v>2.7999999999999998E-4</v>
      </c>
      <c r="AC257" s="529">
        <f t="shared" si="153"/>
        <v>2.6700000000000002E-2</v>
      </c>
      <c r="AD257" s="427">
        <f t="shared" si="211"/>
        <v>1580</v>
      </c>
      <c r="AE257" s="428">
        <f t="shared" si="201"/>
        <v>2.7241379310344825E-4</v>
      </c>
      <c r="AF257" s="520">
        <f t="shared" si="154"/>
        <v>2.5999999999999999E-2</v>
      </c>
    </row>
    <row r="258" spans="1:32" ht="18" hidden="1" customHeight="1" x14ac:dyDescent="0.25">
      <c r="A258" s="101">
        <v>19</v>
      </c>
      <c r="B258" s="104" t="s">
        <v>177</v>
      </c>
      <c r="C258" s="75" t="s">
        <v>326</v>
      </c>
      <c r="D258" s="53">
        <v>1467</v>
      </c>
      <c r="E258" s="54">
        <f t="shared" si="202"/>
        <v>2.7868360820858219E-4</v>
      </c>
      <c r="F258" s="165">
        <v>350</v>
      </c>
      <c r="G258" s="164">
        <f t="shared" si="203"/>
        <v>6.8464625990463079E-5</v>
      </c>
      <c r="H258" s="125">
        <v>1493</v>
      </c>
      <c r="I258" s="54">
        <f t="shared" si="194"/>
        <v>2.7369380867207904E-4</v>
      </c>
      <c r="J258" s="165">
        <v>999</v>
      </c>
      <c r="K258" s="164">
        <f t="shared" si="195"/>
        <v>1.7877367699873533E-4</v>
      </c>
      <c r="L258" s="329">
        <v>516</v>
      </c>
      <c r="M258" s="211">
        <f t="shared" si="196"/>
        <v>1.0055923406603858E-4</v>
      </c>
      <c r="N258" s="243">
        <v>1508</v>
      </c>
      <c r="O258" s="244">
        <f t="shared" si="204"/>
        <v>2.8509575001261947E-4</v>
      </c>
      <c r="P258" s="379">
        <v>727</v>
      </c>
      <c r="Q258" s="244">
        <f t="shared" si="197"/>
        <v>1.4955105882972491E-4</v>
      </c>
      <c r="R258" s="427">
        <v>614</v>
      </c>
      <c r="S258" s="428">
        <f t="shared" si="205"/>
        <v>1.1396267332673934E-4</v>
      </c>
      <c r="T258" s="575">
        <v>0</v>
      </c>
      <c r="U258" s="505">
        <f t="shared" si="206"/>
        <v>0</v>
      </c>
      <c r="V258" s="243">
        <v>600</v>
      </c>
      <c r="W258" s="505">
        <f t="shared" si="207"/>
        <v>1.1320754716981132E-4</v>
      </c>
      <c r="X258" s="427">
        <v>700</v>
      </c>
      <c r="Y258" s="428">
        <f t="shared" si="198"/>
        <v>1.3207547169811321E-4</v>
      </c>
      <c r="Z258" s="520">
        <f t="shared" si="199"/>
        <v>0.16669999999999999</v>
      </c>
      <c r="AA258" s="573">
        <f t="shared" si="210"/>
        <v>720</v>
      </c>
      <c r="AB258" s="505">
        <f t="shared" si="200"/>
        <v>1.309090909090909E-4</v>
      </c>
      <c r="AC258" s="529">
        <f t="shared" si="153"/>
        <v>2.86E-2</v>
      </c>
      <c r="AD258" s="427">
        <f t="shared" si="211"/>
        <v>740</v>
      </c>
      <c r="AE258" s="428">
        <f t="shared" si="201"/>
        <v>1.2758620689655171E-4</v>
      </c>
      <c r="AF258" s="520">
        <f t="shared" si="154"/>
        <v>2.7799999999999998E-2</v>
      </c>
    </row>
    <row r="259" spans="1:32" ht="18" hidden="1" customHeight="1" x14ac:dyDescent="0.25">
      <c r="A259" s="101">
        <v>20</v>
      </c>
      <c r="B259" s="104" t="s">
        <v>178</v>
      </c>
      <c r="C259" s="75" t="s">
        <v>261</v>
      </c>
      <c r="D259" s="53">
        <v>41950</v>
      </c>
      <c r="E259" s="54">
        <f t="shared" si="202"/>
        <v>7.9691733908316444E-3</v>
      </c>
      <c r="F259" s="165">
        <v>37797</v>
      </c>
      <c r="G259" s="164">
        <f t="shared" si="203"/>
        <v>7.3935927673186653E-3</v>
      </c>
      <c r="H259" s="125">
        <v>35257</v>
      </c>
      <c r="I259" s="54">
        <f t="shared" si="194"/>
        <v>6.4632435447766184E-3</v>
      </c>
      <c r="J259" s="165">
        <v>38747</v>
      </c>
      <c r="K259" s="164">
        <f t="shared" si="195"/>
        <v>6.9338775402102088E-3</v>
      </c>
      <c r="L259" s="329">
        <v>35620</v>
      </c>
      <c r="M259" s="211">
        <f t="shared" si="196"/>
        <v>6.9417052663416547E-3</v>
      </c>
      <c r="N259" s="243">
        <v>45552</v>
      </c>
      <c r="O259" s="244">
        <f t="shared" si="204"/>
        <v>8.6118578279674018E-3</v>
      </c>
      <c r="P259" s="379">
        <v>38277</v>
      </c>
      <c r="Q259" s="244">
        <f t="shared" si="197"/>
        <v>7.8739558168162034E-3</v>
      </c>
      <c r="R259" s="427">
        <v>40493</v>
      </c>
      <c r="S259" s="428">
        <f t="shared" si="205"/>
        <v>7.5157826238105149E-3</v>
      </c>
      <c r="T259" s="575">
        <v>21986</v>
      </c>
      <c r="U259" s="505">
        <f t="shared" si="206"/>
        <v>4.8773280778455809E-3</v>
      </c>
      <c r="V259" s="243">
        <v>40000</v>
      </c>
      <c r="W259" s="505">
        <f t="shared" si="207"/>
        <v>7.5471698113207548E-3</v>
      </c>
      <c r="X259" s="427">
        <v>35000</v>
      </c>
      <c r="Y259" s="428">
        <f t="shared" si="198"/>
        <v>6.6037735849056606E-3</v>
      </c>
      <c r="Z259" s="520">
        <f t="shared" si="199"/>
        <v>-0.125</v>
      </c>
      <c r="AA259" s="573">
        <f t="shared" si="210"/>
        <v>35880</v>
      </c>
      <c r="AB259" s="505">
        <f t="shared" si="200"/>
        <v>6.5236363636363634E-3</v>
      </c>
      <c r="AC259" s="529">
        <f t="shared" ref="AC259:AC311" si="212">ROUND((AA259-X259)/X259,4)</f>
        <v>2.5100000000000001E-2</v>
      </c>
      <c r="AD259" s="427">
        <f t="shared" si="211"/>
        <v>36780</v>
      </c>
      <c r="AE259" s="428">
        <f t="shared" si="201"/>
        <v>6.3413793103448274E-3</v>
      </c>
      <c r="AF259" s="520">
        <f t="shared" ref="AF259:AF311" si="213">ROUND((AD259-AA259)/AA259,4)</f>
        <v>2.5100000000000001E-2</v>
      </c>
    </row>
    <row r="260" spans="1:32" ht="18" hidden="1" customHeight="1" x14ac:dyDescent="0.25">
      <c r="A260" s="101">
        <v>21</v>
      </c>
      <c r="B260" s="104" t="s">
        <v>179</v>
      </c>
      <c r="C260" s="75" t="s">
        <v>222</v>
      </c>
      <c r="D260" s="53">
        <f>8752+190</f>
        <v>8942</v>
      </c>
      <c r="E260" s="54">
        <f t="shared" si="202"/>
        <v>1.6986972219503352E-3</v>
      </c>
      <c r="F260" s="165">
        <v>2822</v>
      </c>
      <c r="G260" s="164">
        <f t="shared" si="203"/>
        <v>5.5202049870024794E-4</v>
      </c>
      <c r="H260" s="125">
        <v>9983</v>
      </c>
      <c r="I260" s="54">
        <f t="shared" si="194"/>
        <v>1.8300638258361456E-3</v>
      </c>
      <c r="J260" s="165">
        <v>6489</v>
      </c>
      <c r="K260" s="164">
        <f t="shared" si="195"/>
        <v>1.161223613658452E-3</v>
      </c>
      <c r="L260" s="329">
        <v>10703</v>
      </c>
      <c r="M260" s="211">
        <f t="shared" si="196"/>
        <v>2.0858245779240519E-3</v>
      </c>
      <c r="N260" s="243">
        <v>12136</v>
      </c>
      <c r="O260" s="244">
        <f t="shared" si="204"/>
        <v>2.2943779987752984E-3</v>
      </c>
      <c r="P260" s="379">
        <f>9482+90</f>
        <v>9572</v>
      </c>
      <c r="Q260" s="244">
        <f t="shared" si="197"/>
        <v>1.9690546562835306E-3</v>
      </c>
      <c r="R260" s="427">
        <v>10146</v>
      </c>
      <c r="S260" s="428">
        <f t="shared" si="205"/>
        <v>1.883168214288432E-3</v>
      </c>
      <c r="T260" s="575">
        <v>6324</v>
      </c>
      <c r="U260" s="505">
        <f t="shared" si="206"/>
        <v>1.4029028820292666E-3</v>
      </c>
      <c r="V260" s="243">
        <v>10000</v>
      </c>
      <c r="W260" s="505">
        <f t="shared" si="207"/>
        <v>1.8867924528301887E-3</v>
      </c>
      <c r="X260" s="427">
        <v>9500</v>
      </c>
      <c r="Y260" s="428">
        <f t="shared" si="198"/>
        <v>1.7924528301886792E-3</v>
      </c>
      <c r="Z260" s="520">
        <f t="shared" si="199"/>
        <v>-0.05</v>
      </c>
      <c r="AA260" s="573">
        <f t="shared" si="210"/>
        <v>9740</v>
      </c>
      <c r="AB260" s="505">
        <f t="shared" si="200"/>
        <v>1.770909090909091E-3</v>
      </c>
      <c r="AC260" s="529">
        <f t="shared" si="212"/>
        <v>2.53E-2</v>
      </c>
      <c r="AD260" s="427">
        <f t="shared" si="211"/>
        <v>9980</v>
      </c>
      <c r="AE260" s="428">
        <f t="shared" si="201"/>
        <v>1.7206896551724138E-3</v>
      </c>
      <c r="AF260" s="520">
        <f t="shared" si="213"/>
        <v>2.46E-2</v>
      </c>
    </row>
    <row r="261" spans="1:32" ht="18" hidden="1" customHeight="1" x14ac:dyDescent="0.25">
      <c r="A261" s="101">
        <v>22</v>
      </c>
      <c r="B261" s="104" t="s">
        <v>180</v>
      </c>
      <c r="C261" s="75" t="s">
        <v>223</v>
      </c>
      <c r="D261" s="53">
        <v>1471</v>
      </c>
      <c r="E261" s="54">
        <f t="shared" si="202"/>
        <v>2.7944348171426336E-4</v>
      </c>
      <c r="F261" s="165">
        <v>4014</v>
      </c>
      <c r="G261" s="164">
        <f t="shared" si="203"/>
        <v>7.851914535020537E-4</v>
      </c>
      <c r="H261" s="125">
        <v>1908</v>
      </c>
      <c r="I261" s="54">
        <f t="shared" si="194"/>
        <v>3.49770788309663E-4</v>
      </c>
      <c r="J261" s="165">
        <v>2293</v>
      </c>
      <c r="K261" s="164">
        <f t="shared" si="195"/>
        <v>4.1033837973783796E-4</v>
      </c>
      <c r="L261" s="329">
        <v>1733</v>
      </c>
      <c r="M261" s="211">
        <f t="shared" si="196"/>
        <v>3.377309159621024E-4</v>
      </c>
      <c r="N261" s="243">
        <v>532</v>
      </c>
      <c r="O261" s="244">
        <f t="shared" si="204"/>
        <v>1.0057754576042013E-4</v>
      </c>
      <c r="P261" s="379">
        <v>167</v>
      </c>
      <c r="Q261" s="244">
        <f t="shared" si="197"/>
        <v>3.4353544462949187E-5</v>
      </c>
      <c r="R261" s="427">
        <v>94</v>
      </c>
      <c r="S261" s="428">
        <f t="shared" si="205"/>
        <v>1.744705422266042E-5</v>
      </c>
      <c r="T261" s="575">
        <v>114</v>
      </c>
      <c r="U261" s="505">
        <f t="shared" si="206"/>
        <v>2.5289520643791332E-5</v>
      </c>
      <c r="V261" s="243">
        <v>200</v>
      </c>
      <c r="W261" s="505">
        <f t="shared" si="207"/>
        <v>3.7735849056603776E-5</v>
      </c>
      <c r="X261" s="427">
        <v>200</v>
      </c>
      <c r="Y261" s="428">
        <f t="shared" si="198"/>
        <v>3.7735849056603776E-5</v>
      </c>
      <c r="Z261" s="520">
        <f t="shared" si="199"/>
        <v>0</v>
      </c>
      <c r="AA261" s="573">
        <f t="shared" si="210"/>
        <v>210</v>
      </c>
      <c r="AB261" s="505">
        <f t="shared" si="200"/>
        <v>3.818181818181818E-5</v>
      </c>
      <c r="AC261" s="529">
        <f t="shared" si="212"/>
        <v>0.05</v>
      </c>
      <c r="AD261" s="427">
        <f t="shared" si="211"/>
        <v>220</v>
      </c>
      <c r="AE261" s="428">
        <f t="shared" si="201"/>
        <v>3.7931034482758622E-5</v>
      </c>
      <c r="AF261" s="520">
        <f t="shared" si="213"/>
        <v>4.7600000000000003E-2</v>
      </c>
    </row>
    <row r="262" spans="1:32" ht="18" hidden="1" customHeight="1" x14ac:dyDescent="0.25">
      <c r="A262" s="101">
        <v>23</v>
      </c>
      <c r="B262" s="104" t="s">
        <v>181</v>
      </c>
      <c r="C262" s="75" t="s">
        <v>276</v>
      </c>
      <c r="D262" s="53">
        <v>4358</v>
      </c>
      <c r="E262" s="54">
        <f t="shared" si="202"/>
        <v>8.2788218443967355E-4</v>
      </c>
      <c r="F262" s="165">
        <v>2370</v>
      </c>
      <c r="G262" s="164">
        <f t="shared" si="203"/>
        <v>4.636033245639928E-4</v>
      </c>
      <c r="H262" s="125">
        <v>4154</v>
      </c>
      <c r="I262" s="54">
        <f t="shared" si="194"/>
        <v>7.6150306846873173E-4</v>
      </c>
      <c r="J262" s="165">
        <v>4349</v>
      </c>
      <c r="K262" s="164">
        <f t="shared" si="195"/>
        <v>7.7826498625375377E-4</v>
      </c>
      <c r="L262" s="329">
        <v>2153</v>
      </c>
      <c r="M262" s="211">
        <f t="shared" si="196"/>
        <v>4.1958145531818033E-4</v>
      </c>
      <c r="N262" s="243">
        <v>10878</v>
      </c>
      <c r="O262" s="244">
        <f t="shared" si="204"/>
        <v>2.0565461330485906E-3</v>
      </c>
      <c r="P262" s="379">
        <v>8313</v>
      </c>
      <c r="Q262" s="244">
        <f t="shared" si="197"/>
        <v>1.7100659588053688E-3</v>
      </c>
      <c r="R262" s="427">
        <v>5859</v>
      </c>
      <c r="S262" s="428">
        <f t="shared" si="205"/>
        <v>1.0874711775592277E-3</v>
      </c>
      <c r="T262" s="575">
        <v>5727</v>
      </c>
      <c r="U262" s="505">
        <f t="shared" si="206"/>
        <v>1.2704656554999383E-3</v>
      </c>
      <c r="V262" s="243">
        <v>6500</v>
      </c>
      <c r="W262" s="505">
        <f t="shared" si="207"/>
        <v>1.2264150943396227E-3</v>
      </c>
      <c r="X262" s="427">
        <v>6850</v>
      </c>
      <c r="Y262" s="428">
        <f t="shared" si="198"/>
        <v>1.2924528301886792E-3</v>
      </c>
      <c r="Z262" s="520">
        <f t="shared" si="199"/>
        <v>5.3800000000000001E-2</v>
      </c>
      <c r="AA262" s="573">
        <f t="shared" si="210"/>
        <v>7020</v>
      </c>
      <c r="AB262" s="505">
        <f t="shared" si="200"/>
        <v>1.2763636363636365E-3</v>
      </c>
      <c r="AC262" s="529">
        <f t="shared" si="212"/>
        <v>2.4799999999999999E-2</v>
      </c>
      <c r="AD262" s="427">
        <f t="shared" si="211"/>
        <v>7200</v>
      </c>
      <c r="AE262" s="428">
        <f t="shared" si="201"/>
        <v>1.2413793103448277E-3</v>
      </c>
      <c r="AF262" s="520">
        <f t="shared" si="213"/>
        <v>2.5600000000000001E-2</v>
      </c>
    </row>
    <row r="263" spans="1:32" ht="18" hidden="1" customHeight="1" x14ac:dyDescent="0.25">
      <c r="A263" s="101">
        <v>24</v>
      </c>
      <c r="B263" s="104" t="s">
        <v>183</v>
      </c>
      <c r="C263" s="75" t="s">
        <v>260</v>
      </c>
      <c r="D263" s="53">
        <v>17727</v>
      </c>
      <c r="E263" s="54">
        <f t="shared" si="202"/>
        <v>3.3675694088026831E-3</v>
      </c>
      <c r="F263" s="165">
        <v>23747</v>
      </c>
      <c r="G263" s="164">
        <f t="shared" si="203"/>
        <v>4.6452270668443617E-3</v>
      </c>
      <c r="H263" s="125">
        <v>25200</v>
      </c>
      <c r="I263" s="54">
        <f t="shared" si="194"/>
        <v>4.6196141852219638E-3</v>
      </c>
      <c r="J263" s="165">
        <v>21386</v>
      </c>
      <c r="K263" s="164">
        <f t="shared" si="195"/>
        <v>3.827080937232186E-3</v>
      </c>
      <c r="L263" s="329">
        <v>21982</v>
      </c>
      <c r="M263" s="211">
        <f t="shared" si="196"/>
        <v>4.2839013241078678E-3</v>
      </c>
      <c r="N263" s="243">
        <v>24584</v>
      </c>
      <c r="O263" s="244">
        <f t="shared" si="204"/>
        <v>4.647741325139414E-3</v>
      </c>
      <c r="P263" s="379">
        <v>27985</v>
      </c>
      <c r="Q263" s="244">
        <f t="shared" si="197"/>
        <v>5.7567900706325332E-3</v>
      </c>
      <c r="R263" s="427">
        <v>28003</v>
      </c>
      <c r="S263" s="428">
        <f t="shared" si="205"/>
        <v>5.1975516957144651E-3</v>
      </c>
      <c r="T263" s="575">
        <v>13290</v>
      </c>
      <c r="U263" s="505">
        <f t="shared" si="206"/>
        <v>2.9482256961051475E-3</v>
      </c>
      <c r="V263" s="243">
        <v>25000</v>
      </c>
      <c r="W263" s="505">
        <f t="shared" si="207"/>
        <v>4.7169811320754715E-3</v>
      </c>
      <c r="X263" s="427">
        <v>26500</v>
      </c>
      <c r="Y263" s="428">
        <f t="shared" si="198"/>
        <v>5.0000000000000001E-3</v>
      </c>
      <c r="Z263" s="520">
        <f t="shared" si="199"/>
        <v>0.06</v>
      </c>
      <c r="AA263" s="573">
        <f t="shared" si="210"/>
        <v>27160</v>
      </c>
      <c r="AB263" s="505">
        <f t="shared" si="200"/>
        <v>4.9381818181818181E-3</v>
      </c>
      <c r="AC263" s="529">
        <f t="shared" si="212"/>
        <v>2.4899999999999999E-2</v>
      </c>
      <c r="AD263" s="427">
        <f t="shared" si="211"/>
        <v>27840</v>
      </c>
      <c r="AE263" s="428">
        <f t="shared" si="201"/>
        <v>4.7999999999999996E-3</v>
      </c>
      <c r="AF263" s="520">
        <f t="shared" si="213"/>
        <v>2.5000000000000001E-2</v>
      </c>
    </row>
    <row r="264" spans="1:32" ht="18" hidden="1" customHeight="1" x14ac:dyDescent="0.25">
      <c r="A264" s="101">
        <v>25</v>
      </c>
      <c r="B264" s="104" t="s">
        <v>184</v>
      </c>
      <c r="C264" s="75" t="s">
        <v>381</v>
      </c>
      <c r="D264" s="53">
        <v>22750</v>
      </c>
      <c r="E264" s="54">
        <f t="shared" si="202"/>
        <v>4.3217805635618568E-3</v>
      </c>
      <c r="F264" s="165">
        <v>20475</v>
      </c>
      <c r="G264" s="164">
        <f t="shared" si="203"/>
        <v>4.0051806204420897E-3</v>
      </c>
      <c r="H264" s="125">
        <v>20020</v>
      </c>
      <c r="I264" s="54">
        <f t="shared" si="194"/>
        <v>3.670026824926338E-3</v>
      </c>
      <c r="J264" s="165">
        <v>19850</v>
      </c>
      <c r="K264" s="164">
        <f t="shared" si="195"/>
        <v>3.5522096981230196E-3</v>
      </c>
      <c r="L264" s="329">
        <v>19025</v>
      </c>
      <c r="M264" s="211">
        <f t="shared" si="196"/>
        <v>3.7076345505937672E-3</v>
      </c>
      <c r="N264" s="243">
        <v>21450</v>
      </c>
      <c r="O264" s="244">
        <f t="shared" si="204"/>
        <v>4.0552412717312254E-3</v>
      </c>
      <c r="P264" s="379">
        <v>24937</v>
      </c>
      <c r="Q264" s="244">
        <f t="shared" si="197"/>
        <v>5.1297864567219397E-3</v>
      </c>
      <c r="R264" s="427">
        <v>28038</v>
      </c>
      <c r="S264" s="428">
        <f t="shared" si="205"/>
        <v>5.2040479393080088E-3</v>
      </c>
      <c r="T264" s="575">
        <v>27035</v>
      </c>
      <c r="U264" s="505">
        <f t="shared" si="206"/>
        <v>5.9973876368850767E-3</v>
      </c>
      <c r="V264" s="243">
        <v>28000</v>
      </c>
      <c r="W264" s="505">
        <f t="shared" si="207"/>
        <v>5.2830188679245287E-3</v>
      </c>
      <c r="X264" s="427">
        <v>25650</v>
      </c>
      <c r="Y264" s="428">
        <f t="shared" si="198"/>
        <v>4.8396226415094341E-3</v>
      </c>
      <c r="Z264" s="520">
        <f t="shared" si="199"/>
        <v>-8.3900000000000002E-2</v>
      </c>
      <c r="AA264" s="379">
        <v>27150</v>
      </c>
      <c r="AB264" s="505">
        <f t="shared" si="200"/>
        <v>4.9363636363636363E-3</v>
      </c>
      <c r="AC264" s="529">
        <f t="shared" si="212"/>
        <v>5.8500000000000003E-2</v>
      </c>
      <c r="AD264" s="427">
        <v>29250</v>
      </c>
      <c r="AE264" s="428">
        <f t="shared" si="201"/>
        <v>5.0431034482758619E-3</v>
      </c>
      <c r="AF264" s="520">
        <f t="shared" si="213"/>
        <v>7.7299999999999994E-2</v>
      </c>
    </row>
    <row r="265" spans="1:32" ht="18" hidden="1" customHeight="1" x14ac:dyDescent="0.25">
      <c r="A265" s="101">
        <v>26</v>
      </c>
      <c r="B265" s="104" t="s">
        <v>306</v>
      </c>
      <c r="C265" s="75" t="s">
        <v>291</v>
      </c>
      <c r="D265" s="53">
        <v>0</v>
      </c>
      <c r="E265" s="54">
        <f t="shared" si="202"/>
        <v>0</v>
      </c>
      <c r="F265" s="165">
        <v>0</v>
      </c>
      <c r="G265" s="164">
        <f t="shared" si="203"/>
        <v>0</v>
      </c>
      <c r="H265" s="125">
        <v>0</v>
      </c>
      <c r="I265" s="54">
        <f t="shared" si="194"/>
        <v>0</v>
      </c>
      <c r="J265" s="165">
        <v>3871</v>
      </c>
      <c r="K265" s="164">
        <f t="shared" si="195"/>
        <v>6.9272562929139595E-4</v>
      </c>
      <c r="L265" s="329">
        <v>3683</v>
      </c>
      <c r="M265" s="211">
        <f t="shared" si="196"/>
        <v>7.1775127725817842E-4</v>
      </c>
      <c r="N265" s="243">
        <v>816</v>
      </c>
      <c r="O265" s="244">
        <f t="shared" si="204"/>
        <v>1.5426931830921583E-4</v>
      </c>
      <c r="P265" s="379">
        <v>2600</v>
      </c>
      <c r="Q265" s="244">
        <f t="shared" si="197"/>
        <v>5.3484560241717294E-4</v>
      </c>
      <c r="R265" s="427">
        <v>4936</v>
      </c>
      <c r="S265" s="428">
        <f t="shared" si="205"/>
        <v>9.161559536494876E-4</v>
      </c>
      <c r="T265" s="575">
        <v>451</v>
      </c>
      <c r="U265" s="505">
        <f t="shared" si="206"/>
        <v>1.0004889307324466E-4</v>
      </c>
      <c r="V265" s="243">
        <v>2500</v>
      </c>
      <c r="W265" s="505">
        <f t="shared" si="207"/>
        <v>4.7169811320754717E-4</v>
      </c>
      <c r="X265" s="427">
        <v>1750</v>
      </c>
      <c r="Y265" s="428">
        <f t="shared" si="198"/>
        <v>3.3018867924528304E-4</v>
      </c>
      <c r="Z265" s="520">
        <f t="shared" si="199"/>
        <v>-0.3</v>
      </c>
      <c r="AA265" s="573">
        <f t="shared" ref="AA265:AA269" si="214">ROUND(X265*$AH$1,-1)</f>
        <v>1790</v>
      </c>
      <c r="AB265" s="505">
        <f t="shared" si="200"/>
        <v>3.2545454545454544E-4</v>
      </c>
      <c r="AC265" s="529">
        <f t="shared" si="212"/>
        <v>2.29E-2</v>
      </c>
      <c r="AD265" s="427">
        <f t="shared" ref="AD265:AD269" si="215">ROUND(AA265*$AH$1,-1)</f>
        <v>1830</v>
      </c>
      <c r="AE265" s="428">
        <f t="shared" si="201"/>
        <v>3.1551724137931033E-4</v>
      </c>
      <c r="AF265" s="520">
        <f t="shared" si="213"/>
        <v>2.23E-2</v>
      </c>
    </row>
    <row r="266" spans="1:32" ht="18" hidden="1" customHeight="1" x14ac:dyDescent="0.25">
      <c r="A266" s="101">
        <v>27</v>
      </c>
      <c r="B266" s="104" t="s">
        <v>364</v>
      </c>
      <c r="C266" s="75" t="s">
        <v>365</v>
      </c>
      <c r="D266" s="53"/>
      <c r="E266" s="54"/>
      <c r="F266" s="165"/>
      <c r="G266" s="164"/>
      <c r="H266" s="125"/>
      <c r="I266" s="54"/>
      <c r="J266" s="165"/>
      <c r="K266" s="164"/>
      <c r="L266" s="329"/>
      <c r="M266" s="211"/>
      <c r="N266" s="243">
        <v>0</v>
      </c>
      <c r="O266" s="244">
        <f t="shared" si="204"/>
        <v>0</v>
      </c>
      <c r="P266" s="379">
        <v>1693</v>
      </c>
      <c r="Q266" s="244">
        <f t="shared" si="197"/>
        <v>3.4826677111241303E-4</v>
      </c>
      <c r="R266" s="427">
        <v>0</v>
      </c>
      <c r="S266" s="428">
        <f t="shared" si="205"/>
        <v>0</v>
      </c>
      <c r="T266" s="575">
        <v>0</v>
      </c>
      <c r="U266" s="505">
        <f t="shared" si="206"/>
        <v>0</v>
      </c>
      <c r="V266" s="243">
        <v>0</v>
      </c>
      <c r="W266" s="505">
        <f t="shared" si="207"/>
        <v>0</v>
      </c>
      <c r="X266" s="427">
        <v>0</v>
      </c>
      <c r="Y266" s="428">
        <f t="shared" si="198"/>
        <v>0</v>
      </c>
      <c r="Z266" s="520" t="e">
        <f t="shared" si="199"/>
        <v>#DIV/0!</v>
      </c>
      <c r="AA266" s="573">
        <f t="shared" si="214"/>
        <v>0</v>
      </c>
      <c r="AB266" s="505">
        <f t="shared" si="200"/>
        <v>0</v>
      </c>
      <c r="AC266" s="529" t="e">
        <f t="shared" si="212"/>
        <v>#DIV/0!</v>
      </c>
      <c r="AD266" s="427">
        <f t="shared" si="215"/>
        <v>0</v>
      </c>
      <c r="AE266" s="428">
        <f t="shared" si="201"/>
        <v>0</v>
      </c>
      <c r="AF266" s="520" t="e">
        <f t="shared" si="213"/>
        <v>#DIV/0!</v>
      </c>
    </row>
    <row r="267" spans="1:32" ht="18" hidden="1" customHeight="1" x14ac:dyDescent="0.25">
      <c r="A267" s="101">
        <v>28</v>
      </c>
      <c r="B267" s="104" t="s">
        <v>185</v>
      </c>
      <c r="C267" s="75" t="s">
        <v>258</v>
      </c>
      <c r="D267" s="53">
        <v>10461</v>
      </c>
      <c r="E267" s="54">
        <f t="shared" ref="E267:E278" si="216">D267/D$12</f>
        <v>1.9872591857327732E-3</v>
      </c>
      <c r="F267" s="165">
        <v>6464</v>
      </c>
      <c r="G267" s="164">
        <f t="shared" ref="G267:G278" si="217">F267/F$12</f>
        <v>1.2644438354352952E-3</v>
      </c>
      <c r="H267" s="125">
        <v>11012</v>
      </c>
      <c r="I267" s="54">
        <f t="shared" ref="I267:I278" si="218">H267/H$12</f>
        <v>2.0186980717327089E-3</v>
      </c>
      <c r="J267" s="165">
        <v>2597</v>
      </c>
      <c r="K267" s="164">
        <f t="shared" ref="K267:K278" si="219">J267/J$12</f>
        <v>4.6473997914486055E-4</v>
      </c>
      <c r="L267" s="329">
        <v>2895</v>
      </c>
      <c r="M267" s="211">
        <f t="shared" ref="M267:M278" si="220">L267/L$12</f>
        <v>5.6418407484725135E-4</v>
      </c>
      <c r="N267" s="243">
        <v>4067</v>
      </c>
      <c r="O267" s="244">
        <f t="shared" si="204"/>
        <v>7.6888886956321171E-4</v>
      </c>
      <c r="P267" s="379">
        <v>2945</v>
      </c>
      <c r="Q267" s="244">
        <f t="shared" si="197"/>
        <v>6.0581549966099021E-4</v>
      </c>
      <c r="R267" s="427">
        <v>2842</v>
      </c>
      <c r="S267" s="428">
        <f t="shared" si="205"/>
        <v>5.2749497979575439E-4</v>
      </c>
      <c r="T267" s="575">
        <v>1996</v>
      </c>
      <c r="U267" s="505">
        <f t="shared" si="206"/>
        <v>4.4278844916673246E-4</v>
      </c>
      <c r="V267" s="243">
        <v>4000</v>
      </c>
      <c r="W267" s="505">
        <f t="shared" si="207"/>
        <v>7.5471698113207543E-4</v>
      </c>
      <c r="X267" s="427">
        <v>3000</v>
      </c>
      <c r="Y267" s="428">
        <f t="shared" si="198"/>
        <v>5.6603773584905663E-4</v>
      </c>
      <c r="Z267" s="520">
        <f t="shared" si="199"/>
        <v>-0.25</v>
      </c>
      <c r="AA267" s="573">
        <f t="shared" si="214"/>
        <v>3080</v>
      </c>
      <c r="AB267" s="505">
        <f t="shared" si="200"/>
        <v>5.5999999999999995E-4</v>
      </c>
      <c r="AC267" s="529">
        <f t="shared" si="212"/>
        <v>2.6700000000000002E-2</v>
      </c>
      <c r="AD267" s="427">
        <f t="shared" si="215"/>
        <v>3160</v>
      </c>
      <c r="AE267" s="428">
        <f t="shared" si="201"/>
        <v>5.4482758620689651E-4</v>
      </c>
      <c r="AF267" s="520">
        <f t="shared" si="213"/>
        <v>2.5999999999999999E-2</v>
      </c>
    </row>
    <row r="268" spans="1:32" ht="18" hidden="1" customHeight="1" x14ac:dyDescent="0.25">
      <c r="A268" s="101">
        <v>29</v>
      </c>
      <c r="B268" s="104" t="s">
        <v>182</v>
      </c>
      <c r="C268" s="75" t="s">
        <v>277</v>
      </c>
      <c r="D268" s="53">
        <v>49508</v>
      </c>
      <c r="E268" s="54">
        <f t="shared" si="216"/>
        <v>9.4049543798162827E-3</v>
      </c>
      <c r="F268" s="165">
        <v>13915</v>
      </c>
      <c r="G268" s="164">
        <f t="shared" si="217"/>
        <v>2.7219579161636962E-3</v>
      </c>
      <c r="H268" s="125">
        <f>5914+23800</f>
        <v>29714</v>
      </c>
      <c r="I268" s="54">
        <f t="shared" si="218"/>
        <v>5.4471117420510093E-3</v>
      </c>
      <c r="J268" s="165">
        <v>2338</v>
      </c>
      <c r="K268" s="164">
        <f t="shared" si="219"/>
        <v>4.1839124807111432E-4</v>
      </c>
      <c r="L268" s="329">
        <v>6206</v>
      </c>
      <c r="M268" s="211">
        <f t="shared" si="220"/>
        <v>1.2094391601043322E-3</v>
      </c>
      <c r="N268" s="243">
        <v>6803</v>
      </c>
      <c r="O268" s="244">
        <f t="shared" si="204"/>
        <v>1.2861448191882295E-3</v>
      </c>
      <c r="P268" s="379">
        <v>1431</v>
      </c>
      <c r="Q268" s="244">
        <f t="shared" si="197"/>
        <v>2.9437079117652866E-4</v>
      </c>
      <c r="R268" s="427">
        <v>27750</v>
      </c>
      <c r="S268" s="428">
        <f t="shared" si="205"/>
        <v>5.1505931348811342E-3</v>
      </c>
      <c r="T268" s="575">
        <v>6377</v>
      </c>
      <c r="U268" s="505">
        <f t="shared" si="206"/>
        <v>1.4146602907496259E-3</v>
      </c>
      <c r="V268" s="243">
        <v>7000</v>
      </c>
      <c r="W268" s="505">
        <f t="shared" si="207"/>
        <v>1.3207547169811322E-3</v>
      </c>
      <c r="X268" s="427">
        <v>2000</v>
      </c>
      <c r="Y268" s="428">
        <f t="shared" si="198"/>
        <v>3.7735849056603772E-4</v>
      </c>
      <c r="Z268" s="520">
        <f t="shared" si="199"/>
        <v>-0.71430000000000005</v>
      </c>
      <c r="AA268" s="573">
        <f t="shared" si="214"/>
        <v>2050</v>
      </c>
      <c r="AB268" s="505">
        <f t="shared" si="200"/>
        <v>3.7272727272727273E-4</v>
      </c>
      <c r="AC268" s="529">
        <f t="shared" si="212"/>
        <v>2.5000000000000001E-2</v>
      </c>
      <c r="AD268" s="427">
        <f t="shared" si="215"/>
        <v>2100</v>
      </c>
      <c r="AE268" s="428">
        <f t="shared" si="201"/>
        <v>3.6206896551724136E-4</v>
      </c>
      <c r="AF268" s="520">
        <f t="shared" si="213"/>
        <v>2.4400000000000002E-2</v>
      </c>
    </row>
    <row r="269" spans="1:32" ht="18" hidden="1" customHeight="1" x14ac:dyDescent="0.25">
      <c r="A269" s="101">
        <v>30</v>
      </c>
      <c r="B269" s="104" t="s">
        <v>186</v>
      </c>
      <c r="C269" s="75" t="s">
        <v>278</v>
      </c>
      <c r="D269" s="53">
        <v>2250</v>
      </c>
      <c r="E269" s="54">
        <f t="shared" si="216"/>
        <v>4.2742884694567818E-4</v>
      </c>
      <c r="F269" s="165">
        <v>8500</v>
      </c>
      <c r="G269" s="164">
        <f t="shared" si="217"/>
        <v>1.6627123454826746E-3</v>
      </c>
      <c r="H269" s="125">
        <v>0</v>
      </c>
      <c r="I269" s="54">
        <f t="shared" si="218"/>
        <v>0</v>
      </c>
      <c r="J269" s="165">
        <v>15629</v>
      </c>
      <c r="K269" s="164">
        <f t="shared" si="219"/>
        <v>2.7968506484616963E-3</v>
      </c>
      <c r="L269" s="329">
        <v>9712</v>
      </c>
      <c r="M269" s="211">
        <f t="shared" si="220"/>
        <v>1.8926962814910205E-3</v>
      </c>
      <c r="N269" s="243">
        <v>100</v>
      </c>
      <c r="O269" s="244">
        <f t="shared" si="204"/>
        <v>1.8905553714364686E-5</v>
      </c>
      <c r="P269" s="379">
        <v>0</v>
      </c>
      <c r="Q269" s="244">
        <f t="shared" si="197"/>
        <v>0</v>
      </c>
      <c r="R269" s="427">
        <v>0</v>
      </c>
      <c r="S269" s="428">
        <f t="shared" si="205"/>
        <v>0</v>
      </c>
      <c r="T269" s="575">
        <v>15000</v>
      </c>
      <c r="U269" s="505">
        <f t="shared" si="206"/>
        <v>3.3275685057620177E-3</v>
      </c>
      <c r="V269" s="243">
        <v>10000</v>
      </c>
      <c r="W269" s="505">
        <f t="shared" si="207"/>
        <v>1.8867924528301887E-3</v>
      </c>
      <c r="X269" s="427">
        <v>6000</v>
      </c>
      <c r="Y269" s="428">
        <f t="shared" si="198"/>
        <v>1.1320754716981133E-3</v>
      </c>
      <c r="Z269" s="520">
        <f t="shared" si="199"/>
        <v>-0.4</v>
      </c>
      <c r="AA269" s="573">
        <f t="shared" si="214"/>
        <v>6150</v>
      </c>
      <c r="AB269" s="505">
        <f t="shared" si="200"/>
        <v>1.1181818181818181E-3</v>
      </c>
      <c r="AC269" s="529">
        <f t="shared" si="212"/>
        <v>2.5000000000000001E-2</v>
      </c>
      <c r="AD269" s="427">
        <f t="shared" si="215"/>
        <v>6300</v>
      </c>
      <c r="AE269" s="428">
        <f t="shared" si="201"/>
        <v>1.0862068965517241E-3</v>
      </c>
      <c r="AF269" s="520">
        <f t="shared" si="213"/>
        <v>2.4400000000000002E-2</v>
      </c>
    </row>
    <row r="270" spans="1:32" ht="18" hidden="1" customHeight="1" x14ac:dyDescent="0.25">
      <c r="A270" s="101">
        <v>31</v>
      </c>
      <c r="B270" s="104" t="s">
        <v>187</v>
      </c>
      <c r="C270" s="75" t="s">
        <v>279</v>
      </c>
      <c r="D270" s="53">
        <v>30000</v>
      </c>
      <c r="E270" s="54">
        <f t="shared" si="216"/>
        <v>5.6990512926090421E-3</v>
      </c>
      <c r="F270" s="165">
        <v>24588</v>
      </c>
      <c r="G270" s="164">
        <f t="shared" si="217"/>
        <v>4.8097377824385884E-3</v>
      </c>
      <c r="H270" s="125">
        <v>25000</v>
      </c>
      <c r="I270" s="54">
        <f t="shared" si="218"/>
        <v>4.5829505805773454E-3</v>
      </c>
      <c r="J270" s="165">
        <v>24550</v>
      </c>
      <c r="K270" s="164">
        <f t="shared" si="219"/>
        <v>4.3932870573763286E-3</v>
      </c>
      <c r="L270" s="329">
        <v>24500</v>
      </c>
      <c r="M270" s="211">
        <f t="shared" si="220"/>
        <v>4.774614795771211E-3</v>
      </c>
      <c r="N270" s="243">
        <v>21351</v>
      </c>
      <c r="O270" s="244">
        <f t="shared" si="204"/>
        <v>4.0365247735540044E-3</v>
      </c>
      <c r="P270" s="379">
        <v>25900</v>
      </c>
      <c r="Q270" s="244">
        <f t="shared" si="197"/>
        <v>5.3278850394633771E-3</v>
      </c>
      <c r="R270" s="427">
        <v>37120</v>
      </c>
      <c r="S270" s="428">
        <f t="shared" si="205"/>
        <v>6.8897303483527106E-3</v>
      </c>
      <c r="T270" s="575">
        <v>21303</v>
      </c>
      <c r="U270" s="505">
        <f t="shared" si="206"/>
        <v>4.7258127918832172E-3</v>
      </c>
      <c r="V270" s="243">
        <v>29800</v>
      </c>
      <c r="W270" s="505">
        <f t="shared" si="207"/>
        <v>5.6226415094339623E-3</v>
      </c>
      <c r="X270" s="427">
        <f>34740-3760</f>
        <v>30980</v>
      </c>
      <c r="Y270" s="428">
        <f t="shared" si="198"/>
        <v>5.8452830188679243E-3</v>
      </c>
      <c r="Z270" s="520">
        <f t="shared" si="199"/>
        <v>3.9600000000000003E-2</v>
      </c>
      <c r="AA270" s="379">
        <v>29960</v>
      </c>
      <c r="AB270" s="505">
        <f t="shared" si="200"/>
        <v>5.4472727272727277E-3</v>
      </c>
      <c r="AC270" s="529">
        <f t="shared" si="212"/>
        <v>-3.2899999999999999E-2</v>
      </c>
      <c r="AD270" s="427">
        <v>23185</v>
      </c>
      <c r="AE270" s="428">
        <f t="shared" si="201"/>
        <v>3.9974137931034484E-3</v>
      </c>
      <c r="AF270" s="520">
        <f t="shared" si="213"/>
        <v>-0.2261</v>
      </c>
    </row>
    <row r="271" spans="1:32" ht="18" hidden="1" customHeight="1" x14ac:dyDescent="0.25">
      <c r="A271" s="101">
        <v>32</v>
      </c>
      <c r="B271" s="104" t="s">
        <v>188</v>
      </c>
      <c r="C271" s="75" t="s">
        <v>397</v>
      </c>
      <c r="D271" s="53">
        <f>14000+2000+2500+6000+1200+11214</f>
        <v>36914</v>
      </c>
      <c r="E271" s="54">
        <f t="shared" si="216"/>
        <v>7.0124926471790061E-3</v>
      </c>
      <c r="F271" s="165">
        <f>12000+2000+2500+6000+1200+15732</f>
        <v>39432</v>
      </c>
      <c r="G271" s="164">
        <f t="shared" si="217"/>
        <v>7.7134203773026851E-3</v>
      </c>
      <c r="H271" s="125">
        <v>33944</v>
      </c>
      <c r="I271" s="54">
        <f t="shared" si="218"/>
        <v>6.222546980284697E-3</v>
      </c>
      <c r="J271" s="165">
        <v>28000</v>
      </c>
      <c r="K271" s="164">
        <f t="shared" si="219"/>
        <v>5.0106736295941834E-3</v>
      </c>
      <c r="L271" s="329">
        <v>21774</v>
      </c>
      <c r="M271" s="211">
        <f t="shared" si="220"/>
        <v>4.2433658189029531E-3</v>
      </c>
      <c r="N271" s="243">
        <v>8056</v>
      </c>
      <c r="O271" s="244">
        <f t="shared" si="204"/>
        <v>1.5230314072292191E-3</v>
      </c>
      <c r="P271" s="379">
        <v>18052</v>
      </c>
      <c r="Q271" s="244">
        <f t="shared" si="197"/>
        <v>3.7134741595518488E-3</v>
      </c>
      <c r="R271" s="427">
        <v>8754</v>
      </c>
      <c r="S271" s="428">
        <f t="shared" si="205"/>
        <v>1.6248033262252055E-3</v>
      </c>
      <c r="T271" s="575">
        <v>5704</v>
      </c>
      <c r="U271" s="505">
        <f t="shared" si="206"/>
        <v>1.2653633837911033E-3</v>
      </c>
      <c r="V271" s="243">
        <v>7600</v>
      </c>
      <c r="W271" s="505">
        <f t="shared" si="207"/>
        <v>1.4339622641509433E-3</v>
      </c>
      <c r="X271" s="427">
        <v>7055</v>
      </c>
      <c r="Y271" s="428">
        <f t="shared" si="198"/>
        <v>1.3311320754716982E-3</v>
      </c>
      <c r="Z271" s="520">
        <f t="shared" si="199"/>
        <v>-7.17E-2</v>
      </c>
      <c r="AA271" s="379">
        <v>7545</v>
      </c>
      <c r="AB271" s="505">
        <f t="shared" si="200"/>
        <v>1.3718181818181817E-3</v>
      </c>
      <c r="AC271" s="529">
        <f t="shared" si="212"/>
        <v>6.9500000000000006E-2</v>
      </c>
      <c r="AD271" s="427">
        <v>8685</v>
      </c>
      <c r="AE271" s="428">
        <f t="shared" si="201"/>
        <v>1.4974137931034483E-3</v>
      </c>
      <c r="AF271" s="520">
        <f t="shared" si="213"/>
        <v>0.15110000000000001</v>
      </c>
    </row>
    <row r="272" spans="1:32" ht="18" hidden="1" customHeight="1" x14ac:dyDescent="0.25">
      <c r="A272" s="101">
        <v>33</v>
      </c>
      <c r="B272" s="104" t="s">
        <v>189</v>
      </c>
      <c r="C272" s="75" t="s">
        <v>280</v>
      </c>
      <c r="D272" s="53">
        <v>41</v>
      </c>
      <c r="E272" s="54">
        <f t="shared" si="216"/>
        <v>7.7887034332323586E-6</v>
      </c>
      <c r="F272" s="165">
        <v>190</v>
      </c>
      <c r="G272" s="164">
        <f t="shared" si="217"/>
        <v>3.7166511251965665E-5</v>
      </c>
      <c r="H272" s="125">
        <v>4080</v>
      </c>
      <c r="I272" s="54">
        <f t="shared" si="218"/>
        <v>7.4793753475022279E-4</v>
      </c>
      <c r="J272" s="165">
        <v>0</v>
      </c>
      <c r="K272" s="164">
        <f t="shared" si="219"/>
        <v>0</v>
      </c>
      <c r="L272" s="329">
        <v>0</v>
      </c>
      <c r="M272" s="211">
        <f t="shared" si="220"/>
        <v>0</v>
      </c>
      <c r="N272" s="243">
        <v>14</v>
      </c>
      <c r="O272" s="244">
        <f t="shared" si="204"/>
        <v>2.6467775200110559E-6</v>
      </c>
      <c r="P272" s="379">
        <v>352</v>
      </c>
      <c r="Q272" s="244">
        <f t="shared" si="197"/>
        <v>7.2409866173401888E-5</v>
      </c>
      <c r="R272" s="427">
        <v>0</v>
      </c>
      <c r="S272" s="428">
        <f t="shared" si="205"/>
        <v>0</v>
      </c>
      <c r="T272" s="575">
        <v>0</v>
      </c>
      <c r="U272" s="505">
        <f t="shared" si="206"/>
        <v>0</v>
      </c>
      <c r="V272" s="243">
        <v>0</v>
      </c>
      <c r="W272" s="505">
        <f t="shared" si="207"/>
        <v>0</v>
      </c>
      <c r="X272" s="427">
        <v>0</v>
      </c>
      <c r="Y272" s="428">
        <f t="shared" si="198"/>
        <v>0</v>
      </c>
      <c r="Z272" s="520" t="e">
        <f t="shared" si="199"/>
        <v>#DIV/0!</v>
      </c>
      <c r="AA272" s="379">
        <v>0</v>
      </c>
      <c r="AB272" s="505">
        <f t="shared" si="200"/>
        <v>0</v>
      </c>
      <c r="AC272" s="529" t="e">
        <f t="shared" si="212"/>
        <v>#DIV/0!</v>
      </c>
      <c r="AD272" s="427">
        <v>0</v>
      </c>
      <c r="AE272" s="428">
        <f t="shared" si="201"/>
        <v>0</v>
      </c>
      <c r="AF272" s="520" t="e">
        <f t="shared" si="213"/>
        <v>#DIV/0!</v>
      </c>
    </row>
    <row r="273" spans="1:32" ht="18" hidden="1" customHeight="1" x14ac:dyDescent="0.25">
      <c r="A273" s="101">
        <v>34</v>
      </c>
      <c r="B273" s="104"/>
      <c r="C273" s="75" t="s">
        <v>350</v>
      </c>
      <c r="D273" s="53">
        <v>61967</v>
      </c>
      <c r="E273" s="54">
        <f t="shared" si="216"/>
        <v>1.1771770381636818E-2</v>
      </c>
      <c r="F273" s="165">
        <f>41815+15</f>
        <v>41830</v>
      </c>
      <c r="G273" s="164">
        <f t="shared" si="217"/>
        <v>8.1825008719459153E-3</v>
      </c>
      <c r="H273" s="125">
        <f>47497+75</f>
        <v>47572</v>
      </c>
      <c r="I273" s="54">
        <f t="shared" si="218"/>
        <v>8.7208050007690184E-3</v>
      </c>
      <c r="J273" s="165">
        <v>11926</v>
      </c>
      <c r="K273" s="164">
        <f t="shared" si="219"/>
        <v>2.1341890609478656E-3</v>
      </c>
      <c r="L273" s="329">
        <f>25+3676</f>
        <v>3701</v>
      </c>
      <c r="M273" s="211">
        <f t="shared" si="220"/>
        <v>7.2125915751629604E-4</v>
      </c>
      <c r="N273" s="243">
        <v>155839</v>
      </c>
      <c r="O273" s="244">
        <f t="shared" si="204"/>
        <v>2.9462225852928781E-2</v>
      </c>
      <c r="P273" s="379">
        <v>25000</v>
      </c>
      <c r="Q273" s="244">
        <f t="shared" si="197"/>
        <v>5.1427461770882019E-3</v>
      </c>
      <c r="R273" s="427">
        <v>15000</v>
      </c>
      <c r="S273" s="428">
        <f t="shared" si="205"/>
        <v>2.7841043972330459E-3</v>
      </c>
      <c r="T273" s="575">
        <v>7500</v>
      </c>
      <c r="U273" s="505">
        <f t="shared" si="206"/>
        <v>1.6637842528810089E-3</v>
      </c>
      <c r="V273" s="243">
        <v>30000</v>
      </c>
      <c r="W273" s="505">
        <f t="shared" si="207"/>
        <v>5.6603773584905656E-3</v>
      </c>
      <c r="X273" s="427">
        <v>25200</v>
      </c>
      <c r="Y273" s="428">
        <f t="shared" si="198"/>
        <v>4.7547169811320757E-3</v>
      </c>
      <c r="Z273" s="520">
        <f t="shared" si="199"/>
        <v>-0.16</v>
      </c>
      <c r="AA273" s="379">
        <v>30000</v>
      </c>
      <c r="AB273" s="505">
        <f t="shared" si="200"/>
        <v>5.454545454545455E-3</v>
      </c>
      <c r="AC273" s="529">
        <f t="shared" si="212"/>
        <v>0.1905</v>
      </c>
      <c r="AD273" s="427">
        <v>30000</v>
      </c>
      <c r="AE273" s="428">
        <f t="shared" si="201"/>
        <v>5.1724137931034482E-3</v>
      </c>
      <c r="AF273" s="520">
        <f t="shared" si="213"/>
        <v>0</v>
      </c>
    </row>
    <row r="274" spans="1:32" ht="18" hidden="1" customHeight="1" x14ac:dyDescent="0.25">
      <c r="A274" s="101">
        <v>35</v>
      </c>
      <c r="B274" s="104" t="s">
        <v>190</v>
      </c>
      <c r="C274" s="75" t="s">
        <v>327</v>
      </c>
      <c r="D274" s="53">
        <v>2696</v>
      </c>
      <c r="E274" s="54">
        <f t="shared" si="216"/>
        <v>5.1215474282913264E-4</v>
      </c>
      <c r="F274" s="165">
        <v>3389</v>
      </c>
      <c r="G274" s="164">
        <f t="shared" si="217"/>
        <v>6.6293319280479816E-4</v>
      </c>
      <c r="H274" s="125">
        <v>3832</v>
      </c>
      <c r="I274" s="54">
        <f t="shared" si="218"/>
        <v>7.0247466499089549E-4</v>
      </c>
      <c r="J274" s="165">
        <v>4190</v>
      </c>
      <c r="K274" s="164">
        <f t="shared" si="219"/>
        <v>7.4981151814284392E-4</v>
      </c>
      <c r="L274" s="329">
        <v>4309</v>
      </c>
      <c r="M274" s="211">
        <f t="shared" si="220"/>
        <v>8.3974755734604698E-4</v>
      </c>
      <c r="N274" s="243">
        <v>4751</v>
      </c>
      <c r="O274" s="244">
        <f t="shared" si="204"/>
        <v>8.9820285696946616E-4</v>
      </c>
      <c r="P274" s="379">
        <v>5141</v>
      </c>
      <c r="Q274" s="244">
        <f t="shared" si="197"/>
        <v>1.0575543238564179E-3</v>
      </c>
      <c r="R274" s="427">
        <v>5827</v>
      </c>
      <c r="S274" s="428">
        <f t="shared" si="205"/>
        <v>1.0815317548451306E-3</v>
      </c>
      <c r="T274" s="575">
        <v>4210</v>
      </c>
      <c r="U274" s="505">
        <f t="shared" si="206"/>
        <v>9.3393756061720633E-4</v>
      </c>
      <c r="V274" s="243">
        <v>6500</v>
      </c>
      <c r="W274" s="505">
        <f t="shared" si="207"/>
        <v>1.2264150943396227E-3</v>
      </c>
      <c r="X274" s="427">
        <v>5500</v>
      </c>
      <c r="Y274" s="428">
        <f t="shared" si="198"/>
        <v>1.0377358490566038E-3</v>
      </c>
      <c r="Z274" s="520">
        <f t="shared" si="199"/>
        <v>-0.15379999999999999</v>
      </c>
      <c r="AA274" s="379">
        <v>5000</v>
      </c>
      <c r="AB274" s="505">
        <f t="shared" si="200"/>
        <v>9.0909090909090909E-4</v>
      </c>
      <c r="AC274" s="529">
        <f t="shared" si="212"/>
        <v>-9.0899999999999995E-2</v>
      </c>
      <c r="AD274" s="427">
        <v>5000</v>
      </c>
      <c r="AE274" s="428">
        <f t="shared" si="201"/>
        <v>8.6206896551724137E-4</v>
      </c>
      <c r="AF274" s="520">
        <f t="shared" si="213"/>
        <v>0</v>
      </c>
    </row>
    <row r="275" spans="1:32" ht="18" hidden="1" customHeight="1" x14ac:dyDescent="0.25">
      <c r="A275" s="101">
        <v>36</v>
      </c>
      <c r="B275" s="104"/>
      <c r="C275" s="75" t="s">
        <v>399</v>
      </c>
      <c r="D275" s="53"/>
      <c r="E275" s="54"/>
      <c r="F275" s="165"/>
      <c r="G275" s="164"/>
      <c r="H275" s="125"/>
      <c r="I275" s="54"/>
      <c r="J275" s="165"/>
      <c r="K275" s="164"/>
      <c r="L275" s="329"/>
      <c r="M275" s="211"/>
      <c r="N275" s="243">
        <v>40262</v>
      </c>
      <c r="O275" s="244">
        <f t="shared" si="204"/>
        <v>7.6117540364775095E-3</v>
      </c>
      <c r="P275" s="379">
        <v>3804</v>
      </c>
      <c r="Q275" s="244">
        <f t="shared" si="197"/>
        <v>7.8252025830574082E-4</v>
      </c>
      <c r="R275" s="427">
        <v>1100</v>
      </c>
      <c r="S275" s="428">
        <f t="shared" si="205"/>
        <v>2.0416765579709003E-4</v>
      </c>
      <c r="T275" s="575">
        <v>1389</v>
      </c>
      <c r="U275" s="505">
        <f t="shared" si="206"/>
        <v>3.0813284363356283E-4</v>
      </c>
      <c r="V275" s="243">
        <v>5000</v>
      </c>
      <c r="W275" s="505">
        <f t="shared" si="207"/>
        <v>9.4339622641509435E-4</v>
      </c>
      <c r="X275" s="427">
        <v>5000</v>
      </c>
      <c r="Y275" s="428">
        <f t="shared" si="198"/>
        <v>9.4339622641509435E-4</v>
      </c>
      <c r="Z275" s="520">
        <f t="shared" si="199"/>
        <v>0</v>
      </c>
      <c r="AA275" s="379">
        <v>0</v>
      </c>
      <c r="AB275" s="505">
        <f t="shared" si="200"/>
        <v>0</v>
      </c>
      <c r="AC275" s="529">
        <f t="shared" si="212"/>
        <v>-1</v>
      </c>
      <c r="AD275" s="427">
        <v>0</v>
      </c>
      <c r="AE275" s="428">
        <f t="shared" si="201"/>
        <v>0</v>
      </c>
      <c r="AF275" s="520" t="e">
        <f t="shared" si="213"/>
        <v>#DIV/0!</v>
      </c>
    </row>
    <row r="276" spans="1:32" ht="18" hidden="1" customHeight="1" x14ac:dyDescent="0.25">
      <c r="A276" s="101">
        <v>37</v>
      </c>
      <c r="B276" s="104" t="s">
        <v>191</v>
      </c>
      <c r="C276" s="75" t="s">
        <v>224</v>
      </c>
      <c r="D276" s="53">
        <f>31690-8953</f>
        <v>22737</v>
      </c>
      <c r="E276" s="54">
        <f t="shared" si="216"/>
        <v>4.3193109746683936E-3</v>
      </c>
      <c r="F276" s="165">
        <f>23205-6633</f>
        <v>16572</v>
      </c>
      <c r="G276" s="164">
        <f t="shared" si="217"/>
        <v>3.2417022340398686E-3</v>
      </c>
      <c r="H276" s="125">
        <f>15642-4125</f>
        <v>11517</v>
      </c>
      <c r="I276" s="54">
        <f t="shared" si="218"/>
        <v>2.1112736734603716E-3</v>
      </c>
      <c r="J276" s="165">
        <f>17878-4778</f>
        <v>13100</v>
      </c>
      <c r="K276" s="164">
        <f t="shared" si="219"/>
        <v>2.3442794481315647E-3</v>
      </c>
      <c r="L276" s="329">
        <f>30593-8243</f>
        <v>22350</v>
      </c>
      <c r="M276" s="211">
        <f t="shared" si="220"/>
        <v>4.355617987162717E-3</v>
      </c>
      <c r="N276" s="243">
        <v>38311</v>
      </c>
      <c r="O276" s="244">
        <f t="shared" si="204"/>
        <v>7.2429066835102548E-3</v>
      </c>
      <c r="P276" s="379">
        <v>41726</v>
      </c>
      <c r="Q276" s="244">
        <f t="shared" si="197"/>
        <v>8.5834490794072932E-3</v>
      </c>
      <c r="R276" s="427">
        <v>42467</v>
      </c>
      <c r="S276" s="428">
        <f t="shared" si="205"/>
        <v>7.8821707624863839E-3</v>
      </c>
      <c r="T276" s="575">
        <v>38182</v>
      </c>
      <c r="U276" s="505">
        <f t="shared" si="206"/>
        <v>8.4702147124670231E-3</v>
      </c>
      <c r="V276" s="243">
        <v>51215</v>
      </c>
      <c r="W276" s="505">
        <f t="shared" si="207"/>
        <v>9.6632075471698112E-3</v>
      </c>
      <c r="X276" s="427">
        <f>42730+9335</f>
        <v>52065</v>
      </c>
      <c r="Y276" s="428">
        <f t="shared" si="198"/>
        <v>9.8235849056603781E-3</v>
      </c>
      <c r="Z276" s="520">
        <f t="shared" si="199"/>
        <v>1.66E-2</v>
      </c>
      <c r="AA276" s="379">
        <f>45155+9600</f>
        <v>54755</v>
      </c>
      <c r="AB276" s="505">
        <f t="shared" si="200"/>
        <v>9.9554545454545451E-3</v>
      </c>
      <c r="AC276" s="529">
        <f t="shared" si="212"/>
        <v>5.1700000000000003E-2</v>
      </c>
      <c r="AD276" s="427">
        <f>48760+10370</f>
        <v>59130</v>
      </c>
      <c r="AE276" s="428">
        <f t="shared" si="201"/>
        <v>1.0194827586206897E-2</v>
      </c>
      <c r="AF276" s="520">
        <f t="shared" si="213"/>
        <v>7.9899999999999999E-2</v>
      </c>
    </row>
    <row r="277" spans="1:32" ht="18" hidden="1" customHeight="1" x14ac:dyDescent="0.25">
      <c r="A277" s="101">
        <v>38</v>
      </c>
      <c r="B277" s="104" t="s">
        <v>192</v>
      </c>
      <c r="C277" s="75" t="s">
        <v>5</v>
      </c>
      <c r="D277" s="53">
        <f>30290-8556</f>
        <v>21734</v>
      </c>
      <c r="E277" s="54">
        <f t="shared" si="216"/>
        <v>4.1287726931188307E-3</v>
      </c>
      <c r="F277" s="165">
        <f>31099-8894</f>
        <v>22205</v>
      </c>
      <c r="G277" s="164">
        <f t="shared" si="217"/>
        <v>4.3435914860520926E-3</v>
      </c>
      <c r="H277" s="125">
        <f>34710-9148</f>
        <v>25562</v>
      </c>
      <c r="I277" s="54">
        <f t="shared" si="218"/>
        <v>4.6859753096287239E-3</v>
      </c>
      <c r="J277" s="165">
        <f>33738-9014</f>
        <v>24724</v>
      </c>
      <c r="K277" s="164">
        <f t="shared" si="219"/>
        <v>4.4244248149316644E-3</v>
      </c>
      <c r="L277" s="329">
        <f>35328-9527</f>
        <v>25801</v>
      </c>
      <c r="M277" s="211">
        <f t="shared" si="220"/>
        <v>5.0281565855384907E-3</v>
      </c>
      <c r="N277" s="243">
        <v>30189</v>
      </c>
      <c r="O277" s="244">
        <f t="shared" si="204"/>
        <v>5.7073976108295548E-3</v>
      </c>
      <c r="P277" s="379">
        <v>31553</v>
      </c>
      <c r="Q277" s="244">
        <f t="shared" si="197"/>
        <v>6.4907628050265617E-3</v>
      </c>
      <c r="R277" s="427">
        <v>28903</v>
      </c>
      <c r="S277" s="428">
        <f t="shared" si="205"/>
        <v>5.3645979595484481E-3</v>
      </c>
      <c r="T277" s="575">
        <v>21785</v>
      </c>
      <c r="U277" s="505">
        <f t="shared" si="206"/>
        <v>4.8327386598683705E-3</v>
      </c>
      <c r="V277" s="243">
        <v>31580</v>
      </c>
      <c r="W277" s="505">
        <f t="shared" si="207"/>
        <v>5.9584905660377361E-3</v>
      </c>
      <c r="X277" s="427">
        <f>31040+6960</f>
        <v>38000</v>
      </c>
      <c r="Y277" s="428">
        <f t="shared" si="198"/>
        <v>7.169811320754717E-3</v>
      </c>
      <c r="Z277" s="520">
        <f t="shared" si="199"/>
        <v>0.20330000000000001</v>
      </c>
      <c r="AA277" s="379">
        <f>31895+6960</f>
        <v>38855</v>
      </c>
      <c r="AB277" s="505">
        <f t="shared" si="200"/>
        <v>7.0645454545454544E-3</v>
      </c>
      <c r="AC277" s="529">
        <f t="shared" si="212"/>
        <v>2.2499999999999999E-2</v>
      </c>
      <c r="AD277" s="427">
        <f>32780+7150</f>
        <v>39930</v>
      </c>
      <c r="AE277" s="428">
        <f t="shared" si="201"/>
        <v>6.8844827586206896E-3</v>
      </c>
      <c r="AF277" s="520">
        <f t="shared" si="213"/>
        <v>2.7699999999999999E-2</v>
      </c>
    </row>
    <row r="278" spans="1:32" ht="18" hidden="1" customHeight="1" x14ac:dyDescent="0.25">
      <c r="A278" s="101">
        <v>39</v>
      </c>
      <c r="B278" s="104" t="s">
        <v>193</v>
      </c>
      <c r="C278" s="76" t="s">
        <v>225</v>
      </c>
      <c r="D278" s="55">
        <f>18422-5208</f>
        <v>13214</v>
      </c>
      <c r="E278" s="56">
        <f t="shared" si="216"/>
        <v>2.510242126017863E-3</v>
      </c>
      <c r="F278" s="166">
        <f>23047-6593</f>
        <v>16454</v>
      </c>
      <c r="G278" s="167">
        <f t="shared" si="217"/>
        <v>3.218619874420227E-3</v>
      </c>
      <c r="H278" s="126">
        <f>25660-6761</f>
        <v>18899</v>
      </c>
      <c r="I278" s="56">
        <f t="shared" si="218"/>
        <v>3.4645273208932501E-3</v>
      </c>
      <c r="J278" s="166">
        <f>27272-7288</f>
        <v>19984</v>
      </c>
      <c r="K278" s="167">
        <f t="shared" si="219"/>
        <v>3.5761893504932204E-3</v>
      </c>
      <c r="L278" s="331">
        <f>26997-7271</f>
        <v>19726</v>
      </c>
      <c r="M278" s="212">
        <f t="shared" si="220"/>
        <v>3.8442469984237924E-3</v>
      </c>
      <c r="N278" s="246">
        <v>28067</v>
      </c>
      <c r="O278" s="247">
        <f t="shared" si="204"/>
        <v>5.3062217610107361E-3</v>
      </c>
      <c r="P278" s="381">
        <v>32285</v>
      </c>
      <c r="Q278" s="247">
        <f t="shared" si="197"/>
        <v>6.6413424130917038E-3</v>
      </c>
      <c r="R278" s="430">
        <v>33822</v>
      </c>
      <c r="S278" s="431">
        <f t="shared" si="205"/>
        <v>6.2775985948810712E-3</v>
      </c>
      <c r="T278" s="576">
        <v>23292</v>
      </c>
      <c r="U278" s="506">
        <f t="shared" si="206"/>
        <v>5.167048375747261E-3</v>
      </c>
      <c r="V278" s="246">
        <v>31055</v>
      </c>
      <c r="W278" s="506">
        <f t="shared" si="207"/>
        <v>5.859433962264151E-3</v>
      </c>
      <c r="X278" s="430">
        <f>22285+9905</f>
        <v>32190</v>
      </c>
      <c r="Y278" s="431">
        <f t="shared" si="198"/>
        <v>6.0735849056603773E-3</v>
      </c>
      <c r="Z278" s="521">
        <f t="shared" si="199"/>
        <v>3.6499999999999998E-2</v>
      </c>
      <c r="AA278" s="381">
        <f>20845+10420</f>
        <v>31265</v>
      </c>
      <c r="AB278" s="506">
        <f t="shared" si="200"/>
        <v>5.6845454545454543E-3</v>
      </c>
      <c r="AC278" s="529">
        <f t="shared" si="212"/>
        <v>-2.87E-2</v>
      </c>
      <c r="AD278" s="430">
        <f>21885+10945</f>
        <v>32830</v>
      </c>
      <c r="AE278" s="431">
        <f t="shared" si="201"/>
        <v>5.6603448275862065E-3</v>
      </c>
      <c r="AF278" s="520">
        <f t="shared" si="213"/>
        <v>5.0099999999999999E-2</v>
      </c>
    </row>
    <row r="279" spans="1:32" ht="18" hidden="1" customHeight="1" thickBot="1" x14ac:dyDescent="0.3">
      <c r="A279" s="97"/>
      <c r="B279" s="98"/>
      <c r="C279" s="82" t="s">
        <v>226</v>
      </c>
      <c r="D279" s="37">
        <f>SUM(D238:D278)</f>
        <v>870122</v>
      </c>
      <c r="E279" s="38">
        <f>D279/D$12</f>
        <v>0.16529566362758552</v>
      </c>
      <c r="F279" s="179">
        <f>SUM(F238:F278)</f>
        <v>816296</v>
      </c>
      <c r="G279" s="180">
        <f>F279/F$12</f>
        <v>0.15967828667860298</v>
      </c>
      <c r="H279" s="133">
        <f>SUM(H238:H278)</f>
        <v>889666</v>
      </c>
      <c r="I279" s="38">
        <f>H279/H$12</f>
        <v>0.16309181244879697</v>
      </c>
      <c r="J279" s="179">
        <f>SUM(J238:J278)</f>
        <v>850800</v>
      </c>
      <c r="K279" s="180">
        <f>J279/J$12</f>
        <v>0.15225289728781183</v>
      </c>
      <c r="L279" s="339">
        <f>SUM(L238:L278)</f>
        <v>883814</v>
      </c>
      <c r="M279" s="219">
        <f>L279/L$12</f>
        <v>0.17223964902488725</v>
      </c>
      <c r="N279" s="263">
        <f>SUM(N238:N278)</f>
        <v>1142704</v>
      </c>
      <c r="O279" s="264">
        <f t="shared" si="204"/>
        <v>0.21603451851619385</v>
      </c>
      <c r="P279" s="395">
        <f>SUM(P238:P278)</f>
        <v>1004428</v>
      </c>
      <c r="Q279" s="264">
        <f t="shared" si="197"/>
        <v>0.20662073028641392</v>
      </c>
      <c r="R279" s="447">
        <f>SUM(R238:R278)</f>
        <v>996526</v>
      </c>
      <c r="S279" s="448">
        <f t="shared" si="205"/>
        <v>0.18496216123713721</v>
      </c>
      <c r="T279" s="395">
        <f>SUM(T238:T278)</f>
        <v>745703</v>
      </c>
      <c r="U279" s="514">
        <f t="shared" si="206"/>
        <v>0.16542518783015026</v>
      </c>
      <c r="V279" s="263">
        <f>SUM(V238:V278)</f>
        <v>997055</v>
      </c>
      <c r="W279" s="514">
        <f t="shared" si="207"/>
        <v>0.18812358490566039</v>
      </c>
      <c r="X279" s="447">
        <f>SUM(X238:X278)</f>
        <v>1010930</v>
      </c>
      <c r="Y279" s="448">
        <f t="shared" si="198"/>
        <v>0.19074150943396226</v>
      </c>
      <c r="Z279" s="524">
        <f t="shared" si="199"/>
        <v>1.3899999999999999E-2</v>
      </c>
      <c r="AA279" s="395">
        <f>SUM(AA238:AA278)</f>
        <v>994150</v>
      </c>
      <c r="AB279" s="514">
        <f t="shared" si="200"/>
        <v>0.18075454545454545</v>
      </c>
      <c r="AC279" s="533">
        <f t="shared" si="212"/>
        <v>-1.66E-2</v>
      </c>
      <c r="AD279" s="447">
        <f>SUM(AD238:AD278)</f>
        <v>1016710</v>
      </c>
      <c r="AE279" s="448">
        <f t="shared" si="201"/>
        <v>0.1752948275862069</v>
      </c>
      <c r="AF279" s="524">
        <f t="shared" si="213"/>
        <v>2.2700000000000001E-2</v>
      </c>
    </row>
    <row r="280" spans="1:32" customFormat="1" ht="18" hidden="1" customHeight="1" thickTop="1" x14ac:dyDescent="0.25">
      <c r="A280" s="93"/>
      <c r="B280" s="91"/>
      <c r="C280" s="39"/>
      <c r="D280" s="33"/>
      <c r="E280" s="39"/>
      <c r="F280" s="183"/>
      <c r="G280" s="185"/>
      <c r="H280" s="136"/>
      <c r="I280" s="39"/>
      <c r="J280" s="183"/>
      <c r="K280" s="185"/>
      <c r="L280" s="341"/>
      <c r="M280" s="222"/>
      <c r="N280" s="267"/>
      <c r="O280" s="269"/>
      <c r="P280" s="397"/>
      <c r="Q280" s="269"/>
      <c r="R280" s="451"/>
      <c r="S280" s="454"/>
      <c r="T280" s="397"/>
      <c r="U280" s="269"/>
      <c r="V280" s="267"/>
      <c r="W280" s="269"/>
      <c r="X280" s="451"/>
      <c r="Y280" s="454"/>
      <c r="Z280" s="454"/>
      <c r="AA280" s="397"/>
      <c r="AB280" s="269"/>
      <c r="AC280" s="530"/>
      <c r="AD280" s="451"/>
      <c r="AE280" s="454"/>
      <c r="AF280" s="523"/>
    </row>
    <row r="281" spans="1:32" customFormat="1" ht="18" hidden="1" customHeight="1" x14ac:dyDescent="0.25">
      <c r="A281" s="93"/>
      <c r="B281" s="91"/>
      <c r="C281" s="83" t="s">
        <v>30</v>
      </c>
      <c r="D281" s="24"/>
      <c r="E281" s="39"/>
      <c r="F281" s="152"/>
      <c r="G281" s="185"/>
      <c r="H281" s="137"/>
      <c r="I281" s="39"/>
      <c r="J281" s="186"/>
      <c r="K281" s="185"/>
      <c r="L281" s="343"/>
      <c r="M281" s="222"/>
      <c r="N281" s="270"/>
      <c r="O281" s="269"/>
      <c r="P281" s="399"/>
      <c r="Q281" s="269"/>
      <c r="R281" s="455"/>
      <c r="S281" s="454"/>
      <c r="T281" s="399"/>
      <c r="U281" s="269"/>
      <c r="V281" s="270"/>
      <c r="W281" s="269"/>
      <c r="X281" s="455"/>
      <c r="Y281" s="454"/>
      <c r="Z281" s="454"/>
      <c r="AA281" s="399"/>
      <c r="AB281" s="269"/>
      <c r="AC281" s="532"/>
      <c r="AD281" s="455"/>
      <c r="AE281" s="454"/>
      <c r="AF281" s="528"/>
    </row>
    <row r="282" spans="1:32" customFormat="1" ht="18" hidden="1" customHeight="1" x14ac:dyDescent="0.25">
      <c r="A282" s="97"/>
      <c r="B282" s="98"/>
      <c r="C282" s="75" t="s">
        <v>214</v>
      </c>
      <c r="D282" s="110">
        <v>0.87</v>
      </c>
      <c r="E282" s="62"/>
      <c r="F282" s="187">
        <v>0.87</v>
      </c>
      <c r="G282" s="188"/>
      <c r="H282" s="138">
        <f>32.5/37.5</f>
        <v>0.8666666666666667</v>
      </c>
      <c r="I282" s="62"/>
      <c r="J282" s="187">
        <f>32.5/37.5</f>
        <v>0.8666666666666667</v>
      </c>
      <c r="K282" s="188"/>
      <c r="L282" s="344">
        <f>32.5/37.5</f>
        <v>0.8666666666666667</v>
      </c>
      <c r="M282" s="223"/>
      <c r="N282" s="271">
        <f>32.5/37.5</f>
        <v>0.8666666666666667</v>
      </c>
      <c r="O282" s="272"/>
      <c r="P282" s="400">
        <f>32.5/37.5</f>
        <v>0.8666666666666667</v>
      </c>
      <c r="Q282" s="272"/>
      <c r="R282" s="456">
        <f>32.5/37.5</f>
        <v>0.8666666666666667</v>
      </c>
      <c r="S282" s="457"/>
      <c r="T282" s="400">
        <f>32.5/37.5</f>
        <v>0.8666666666666667</v>
      </c>
      <c r="U282" s="272"/>
      <c r="V282" s="271">
        <f>32.5/37.5</f>
        <v>0.8666666666666667</v>
      </c>
      <c r="W282" s="272"/>
      <c r="X282" s="456">
        <v>0.87</v>
      </c>
      <c r="Y282" s="457"/>
      <c r="Z282" s="457"/>
      <c r="AA282" s="400">
        <v>0.87</v>
      </c>
      <c r="AB282" s="272"/>
      <c r="AC282" s="529">
        <f t="shared" si="212"/>
        <v>0</v>
      </c>
      <c r="AD282" s="456">
        <v>0.87</v>
      </c>
      <c r="AE282" s="457"/>
      <c r="AF282" s="520">
        <f t="shared" si="213"/>
        <v>0</v>
      </c>
    </row>
    <row r="283" spans="1:32" customFormat="1" ht="18" hidden="1" customHeight="1" x14ac:dyDescent="0.25">
      <c r="A283" s="114"/>
      <c r="B283" s="91"/>
      <c r="C283" s="83" t="s">
        <v>294</v>
      </c>
      <c r="D283" s="24"/>
      <c r="E283" s="39"/>
      <c r="F283" s="152"/>
      <c r="G283" s="185"/>
      <c r="H283" s="137"/>
      <c r="I283" s="39"/>
      <c r="J283" s="186"/>
      <c r="K283" s="185"/>
      <c r="L283" s="343"/>
      <c r="M283" s="222"/>
      <c r="N283" s="270"/>
      <c r="O283" s="269"/>
      <c r="P283" s="399"/>
      <c r="Q283" s="269"/>
      <c r="R283" s="455"/>
      <c r="S283" s="454"/>
      <c r="T283" s="399"/>
      <c r="U283" s="269"/>
      <c r="V283" s="270"/>
      <c r="W283" s="269"/>
      <c r="X283" s="455"/>
      <c r="Y283" s="454"/>
      <c r="Z283" s="454"/>
      <c r="AA283" s="399"/>
      <c r="AB283" s="269"/>
      <c r="AC283" s="529"/>
      <c r="AD283" s="455"/>
      <c r="AE283" s="454"/>
      <c r="AF283" s="520"/>
    </row>
    <row r="284" spans="1:32" customFormat="1" ht="18" hidden="1" customHeight="1" x14ac:dyDescent="0.25">
      <c r="A284" s="115">
        <v>1</v>
      </c>
      <c r="B284" s="104" t="s">
        <v>339</v>
      </c>
      <c r="C284" s="86" t="s">
        <v>373</v>
      </c>
      <c r="D284" s="61">
        <v>7725</v>
      </c>
      <c r="E284" s="62"/>
      <c r="F284" s="193">
        <v>10662</v>
      </c>
      <c r="G284" s="188"/>
      <c r="H284" s="141">
        <v>13101</v>
      </c>
      <c r="I284" s="62"/>
      <c r="J284" s="193">
        <v>8643</v>
      </c>
      <c r="K284" s="188"/>
      <c r="L284" s="345">
        <v>14809</v>
      </c>
      <c r="M284" s="223"/>
      <c r="N284" s="273">
        <v>4554</v>
      </c>
      <c r="O284" s="272"/>
      <c r="P284" s="401">
        <v>2458</v>
      </c>
      <c r="Q284" s="272"/>
      <c r="R284" s="479">
        <v>1926</v>
      </c>
      <c r="S284" s="457"/>
      <c r="T284" s="578">
        <v>2058</v>
      </c>
      <c r="U284" s="272"/>
      <c r="V284" s="542">
        <v>2500</v>
      </c>
      <c r="W284" s="272"/>
      <c r="X284" s="458">
        <v>2500</v>
      </c>
      <c r="Y284" s="457"/>
      <c r="Z284" s="520">
        <f t="shared" ref="Z284:Z293" si="221">ROUND((X284-V284)/V284,4)</f>
        <v>0</v>
      </c>
      <c r="AA284" s="573">
        <f t="shared" ref="AA284" si="222">ROUND(X284*$AH$1,-1)</f>
        <v>2560</v>
      </c>
      <c r="AB284" s="272"/>
      <c r="AC284" s="529">
        <f t="shared" si="212"/>
        <v>2.4E-2</v>
      </c>
      <c r="AD284" s="427">
        <f t="shared" ref="AD284" si="223">ROUND(AA284*$AH$1,-1)</f>
        <v>2620</v>
      </c>
      <c r="AE284" s="457"/>
      <c r="AF284" s="520">
        <f t="shared" si="213"/>
        <v>2.3400000000000001E-2</v>
      </c>
    </row>
    <row r="285" spans="1:32" customFormat="1" ht="18" hidden="1" customHeight="1" x14ac:dyDescent="0.25">
      <c r="A285" s="115">
        <v>2</v>
      </c>
      <c r="B285" s="104" t="s">
        <v>339</v>
      </c>
      <c r="C285" s="86" t="s">
        <v>299</v>
      </c>
      <c r="D285" s="61">
        <v>7725</v>
      </c>
      <c r="E285" s="62"/>
      <c r="F285" s="193">
        <v>10662</v>
      </c>
      <c r="G285" s="188"/>
      <c r="H285" s="141">
        <v>13101</v>
      </c>
      <c r="I285" s="62"/>
      <c r="J285" s="193">
        <v>8643</v>
      </c>
      <c r="K285" s="188"/>
      <c r="L285" s="345">
        <v>14809</v>
      </c>
      <c r="M285" s="223"/>
      <c r="N285" s="273">
        <v>18603</v>
      </c>
      <c r="O285" s="272"/>
      <c r="P285" s="401">
        <v>24477</v>
      </c>
      <c r="Q285" s="272"/>
      <c r="R285" s="479">
        <v>19301</v>
      </c>
      <c r="S285" s="457"/>
      <c r="T285" s="578">
        <v>40004</v>
      </c>
      <c r="U285" s="272"/>
      <c r="V285" s="542">
        <v>47500</v>
      </c>
      <c r="W285" s="272"/>
      <c r="X285" s="458">
        <v>40000</v>
      </c>
      <c r="Y285" s="457"/>
      <c r="Z285" s="520">
        <f t="shared" si="221"/>
        <v>-0.15790000000000001</v>
      </c>
      <c r="AA285" s="573">
        <f t="shared" ref="AA285:AA292" si="224">ROUND(X285*$AH$2,-1)</f>
        <v>42000</v>
      </c>
      <c r="AB285" s="272"/>
      <c r="AC285" s="529">
        <f t="shared" si="212"/>
        <v>0.05</v>
      </c>
      <c r="AD285" s="427">
        <f t="shared" ref="AD285:AD292" si="225">ROUND(AA285*$AH$2,-1)</f>
        <v>44100</v>
      </c>
      <c r="AE285" s="457"/>
      <c r="AF285" s="520">
        <f t="shared" si="213"/>
        <v>0.05</v>
      </c>
    </row>
    <row r="286" spans="1:32" customFormat="1" ht="18" hidden="1" customHeight="1" x14ac:dyDescent="0.25">
      <c r="A286" s="101">
        <v>3</v>
      </c>
      <c r="B286" s="104" t="s">
        <v>340</v>
      </c>
      <c r="C286" s="85" t="s">
        <v>295</v>
      </c>
      <c r="D286" s="59">
        <v>7655</v>
      </c>
      <c r="E286" s="60"/>
      <c r="F286" s="191">
        <v>8302</v>
      </c>
      <c r="G286" s="192"/>
      <c r="H286" s="140">
        <v>8974</v>
      </c>
      <c r="I286" s="60"/>
      <c r="J286" s="191">
        <v>7968</v>
      </c>
      <c r="K286" s="192"/>
      <c r="L286" s="346">
        <v>8803</v>
      </c>
      <c r="M286" s="225"/>
      <c r="N286" s="274">
        <v>17032</v>
      </c>
      <c r="O286" s="275"/>
      <c r="P286" s="402">
        <v>18755</v>
      </c>
      <c r="Q286" s="275"/>
      <c r="R286" s="480">
        <v>16643</v>
      </c>
      <c r="S286" s="460"/>
      <c r="T286" s="579">
        <v>16697</v>
      </c>
      <c r="U286" s="275"/>
      <c r="V286" s="546">
        <v>20000</v>
      </c>
      <c r="W286" s="275"/>
      <c r="X286" s="459">
        <v>30000</v>
      </c>
      <c r="Y286" s="460"/>
      <c r="Z286" s="520">
        <f t="shared" si="221"/>
        <v>0.5</v>
      </c>
      <c r="AA286" s="573">
        <f t="shared" si="224"/>
        <v>31500</v>
      </c>
      <c r="AB286" s="275"/>
      <c r="AC286" s="529">
        <f t="shared" si="212"/>
        <v>0.05</v>
      </c>
      <c r="AD286" s="427">
        <f t="shared" si="225"/>
        <v>33080</v>
      </c>
      <c r="AE286" s="460"/>
      <c r="AF286" s="520">
        <f t="shared" si="213"/>
        <v>5.0200000000000002E-2</v>
      </c>
    </row>
    <row r="287" spans="1:32" customFormat="1" ht="18" hidden="1" customHeight="1" x14ac:dyDescent="0.25">
      <c r="A287" s="115">
        <v>4</v>
      </c>
      <c r="B287" s="104"/>
      <c r="C287" s="501" t="s">
        <v>402</v>
      </c>
      <c r="D287" s="496"/>
      <c r="E287" s="60"/>
      <c r="F287" s="498"/>
      <c r="G287" s="192"/>
      <c r="H287" s="497"/>
      <c r="I287" s="60"/>
      <c r="J287" s="498"/>
      <c r="K287" s="192"/>
      <c r="L287" s="500"/>
      <c r="M287" s="225"/>
      <c r="N287" s="499"/>
      <c r="O287" s="275"/>
      <c r="P287" s="402">
        <v>0</v>
      </c>
      <c r="Q287" s="275"/>
      <c r="R287" s="480">
        <v>-5142</v>
      </c>
      <c r="S287" s="460"/>
      <c r="T287" s="579">
        <v>1675</v>
      </c>
      <c r="U287" s="275"/>
      <c r="V287" s="546">
        <v>0</v>
      </c>
      <c r="W287" s="275"/>
      <c r="X287" s="459">
        <v>10000</v>
      </c>
      <c r="Y287" s="460"/>
      <c r="Z287" s="520" t="e">
        <f t="shared" si="221"/>
        <v>#DIV/0!</v>
      </c>
      <c r="AA287" s="573">
        <f t="shared" si="224"/>
        <v>10500</v>
      </c>
      <c r="AB287" s="275"/>
      <c r="AC287" s="529">
        <f t="shared" si="212"/>
        <v>0.05</v>
      </c>
      <c r="AD287" s="427">
        <f t="shared" si="225"/>
        <v>11030</v>
      </c>
      <c r="AE287" s="460"/>
      <c r="AF287" s="520">
        <f t="shared" si="213"/>
        <v>5.0500000000000003E-2</v>
      </c>
    </row>
    <row r="288" spans="1:32" customFormat="1" ht="18" hidden="1" customHeight="1" x14ac:dyDescent="0.25">
      <c r="A288" s="115">
        <v>5</v>
      </c>
      <c r="B288" s="104" t="s">
        <v>343</v>
      </c>
      <c r="C288" s="86" t="s">
        <v>298</v>
      </c>
      <c r="D288" s="61">
        <v>13549</v>
      </c>
      <c r="E288" s="62"/>
      <c r="F288" s="193">
        <v>18278</v>
      </c>
      <c r="G288" s="188"/>
      <c r="H288" s="141">
        <v>16504</v>
      </c>
      <c r="I288" s="62"/>
      <c r="J288" s="193">
        <v>19024</v>
      </c>
      <c r="K288" s="188"/>
      <c r="L288" s="345">
        <v>18450</v>
      </c>
      <c r="M288" s="223"/>
      <c r="N288" s="273">
        <v>27737</v>
      </c>
      <c r="O288" s="272"/>
      <c r="P288" s="401">
        <v>22285</v>
      </c>
      <c r="Q288" s="272"/>
      <c r="R288" s="479">
        <v>26714</v>
      </c>
      <c r="S288" s="457"/>
      <c r="T288" s="578">
        <v>19662</v>
      </c>
      <c r="U288" s="272"/>
      <c r="V288" s="542">
        <v>26500</v>
      </c>
      <c r="W288" s="272"/>
      <c r="X288" s="458">
        <v>25000</v>
      </c>
      <c r="Y288" s="457"/>
      <c r="Z288" s="520">
        <f t="shared" si="221"/>
        <v>-5.6599999999999998E-2</v>
      </c>
      <c r="AA288" s="573">
        <v>25000</v>
      </c>
      <c r="AB288" s="272"/>
      <c r="AC288" s="529">
        <f t="shared" si="212"/>
        <v>0</v>
      </c>
      <c r="AD288" s="427">
        <v>25000</v>
      </c>
      <c r="AE288" s="457"/>
      <c r="AF288" s="520">
        <f t="shared" si="213"/>
        <v>0</v>
      </c>
    </row>
    <row r="289" spans="1:32" customFormat="1" ht="18" hidden="1" customHeight="1" x14ac:dyDescent="0.25">
      <c r="A289" s="101">
        <v>6</v>
      </c>
      <c r="B289" s="104" t="s">
        <v>342</v>
      </c>
      <c r="C289" s="87" t="s">
        <v>300</v>
      </c>
      <c r="D289" s="63">
        <v>0</v>
      </c>
      <c r="E289" s="64"/>
      <c r="F289" s="189">
        <v>0</v>
      </c>
      <c r="G289" s="190"/>
      <c r="H289" s="139">
        <v>0</v>
      </c>
      <c r="I289" s="64"/>
      <c r="J289" s="189">
        <v>1245</v>
      </c>
      <c r="K289" s="190"/>
      <c r="L289" s="347">
        <v>3275</v>
      </c>
      <c r="M289" s="224"/>
      <c r="N289" s="276">
        <v>6136</v>
      </c>
      <c r="O289" s="277"/>
      <c r="P289" s="403">
        <v>7227</v>
      </c>
      <c r="Q289" s="277"/>
      <c r="R289" s="481">
        <v>7981</v>
      </c>
      <c r="S289" s="462"/>
      <c r="T289" s="580">
        <v>7661</v>
      </c>
      <c r="U289" s="277"/>
      <c r="V289" s="541">
        <v>8000</v>
      </c>
      <c r="W289" s="277"/>
      <c r="X289" s="461">
        <v>8500</v>
      </c>
      <c r="Y289" s="462"/>
      <c r="Z289" s="520">
        <f t="shared" si="221"/>
        <v>6.25E-2</v>
      </c>
      <c r="AA289" s="573">
        <f t="shared" ref="AA289" si="226">ROUND(X289*$AH$1,-1)</f>
        <v>8710</v>
      </c>
      <c r="AB289" s="277"/>
      <c r="AC289" s="529">
        <f t="shared" si="212"/>
        <v>2.47E-2</v>
      </c>
      <c r="AD289" s="427">
        <f t="shared" ref="AD289" si="227">ROUND(AA289*$AH$1,-1)</f>
        <v>8930</v>
      </c>
      <c r="AE289" s="462"/>
      <c r="AF289" s="520">
        <f t="shared" si="213"/>
        <v>2.53E-2</v>
      </c>
    </row>
    <row r="290" spans="1:32" customFormat="1" ht="18" hidden="1" customHeight="1" x14ac:dyDescent="0.25">
      <c r="A290" s="115">
        <v>7</v>
      </c>
      <c r="B290" s="104" t="s">
        <v>341</v>
      </c>
      <c r="C290" s="86" t="s">
        <v>297</v>
      </c>
      <c r="D290" s="61">
        <v>25479</v>
      </c>
      <c r="E290" s="62"/>
      <c r="F290" s="193">
        <v>28222</v>
      </c>
      <c r="G290" s="188"/>
      <c r="H290" s="141">
        <v>30277</v>
      </c>
      <c r="I290" s="62"/>
      <c r="J290" s="193">
        <v>42057</v>
      </c>
      <c r="K290" s="188"/>
      <c r="L290" s="345">
        <v>36618</v>
      </c>
      <c r="M290" s="223"/>
      <c r="N290" s="273">
        <v>25875</v>
      </c>
      <c r="O290" s="272"/>
      <c r="P290" s="401">
        <v>27168</v>
      </c>
      <c r="Q290" s="272"/>
      <c r="R290" s="479">
        <v>27168</v>
      </c>
      <c r="S290" s="457"/>
      <c r="T290" s="578">
        <v>20659</v>
      </c>
      <c r="U290" s="272"/>
      <c r="V290" s="542">
        <v>28000</v>
      </c>
      <c r="W290" s="272"/>
      <c r="X290" s="458">
        <v>0</v>
      </c>
      <c r="Y290" s="457"/>
      <c r="Z290" s="520">
        <f t="shared" si="221"/>
        <v>-1</v>
      </c>
      <c r="AA290" s="573">
        <f t="shared" si="224"/>
        <v>0</v>
      </c>
      <c r="AB290" s="272"/>
      <c r="AC290" s="529" t="e">
        <f t="shared" si="212"/>
        <v>#DIV/0!</v>
      </c>
      <c r="AD290" s="427">
        <f t="shared" si="225"/>
        <v>0</v>
      </c>
      <c r="AE290" s="457"/>
      <c r="AF290" s="520" t="e">
        <f t="shared" si="213"/>
        <v>#DIV/0!</v>
      </c>
    </row>
    <row r="291" spans="1:32" customFormat="1" ht="18" hidden="1" customHeight="1" x14ac:dyDescent="0.25">
      <c r="A291" s="115">
        <v>8</v>
      </c>
      <c r="B291" s="104" t="s">
        <v>345</v>
      </c>
      <c r="C291" s="86" t="s">
        <v>296</v>
      </c>
      <c r="D291" s="61">
        <v>7641</v>
      </c>
      <c r="E291" s="62"/>
      <c r="F291" s="193">
        <v>4891</v>
      </c>
      <c r="G291" s="188"/>
      <c r="H291" s="141">
        <v>7169</v>
      </c>
      <c r="I291" s="62"/>
      <c r="J291" s="193">
        <v>8374</v>
      </c>
      <c r="K291" s="188"/>
      <c r="L291" s="345">
        <v>8916</v>
      </c>
      <c r="M291" s="223"/>
      <c r="N291" s="273">
        <v>20637</v>
      </c>
      <c r="O291" s="272"/>
      <c r="P291" s="401">
        <v>24479</v>
      </c>
      <c r="Q291" s="272"/>
      <c r="R291" s="479">
        <v>22951</v>
      </c>
      <c r="S291" s="457"/>
      <c r="T291" s="578">
        <v>20784</v>
      </c>
      <c r="U291" s="272"/>
      <c r="V291" s="542">
        <v>25000</v>
      </c>
      <c r="W291" s="272"/>
      <c r="X291" s="458">
        <v>32000</v>
      </c>
      <c r="Y291" s="457"/>
      <c r="Z291" s="520">
        <f t="shared" si="221"/>
        <v>0.28000000000000003</v>
      </c>
      <c r="AA291" s="573">
        <f t="shared" ref="AA291" si="228">ROUND(X291*$AH$1,-1)</f>
        <v>32800</v>
      </c>
      <c r="AB291" s="272"/>
      <c r="AC291" s="529">
        <f t="shared" si="212"/>
        <v>2.5000000000000001E-2</v>
      </c>
      <c r="AD291" s="427">
        <f t="shared" ref="AD291" si="229">ROUND(AA291*$AH$1,-1)</f>
        <v>33620</v>
      </c>
      <c r="AE291" s="457"/>
      <c r="AF291" s="520">
        <f t="shared" si="213"/>
        <v>2.5000000000000001E-2</v>
      </c>
    </row>
    <row r="292" spans="1:32" customFormat="1" ht="18" hidden="1" customHeight="1" x14ac:dyDescent="0.25">
      <c r="A292" s="101">
        <v>9</v>
      </c>
      <c r="B292" s="104" t="s">
        <v>344</v>
      </c>
      <c r="C292" s="86" t="s">
        <v>301</v>
      </c>
      <c r="D292" s="61">
        <v>2381</v>
      </c>
      <c r="E292" s="62"/>
      <c r="F292" s="193">
        <v>3340</v>
      </c>
      <c r="G292" s="188"/>
      <c r="H292" s="141">
        <v>4377</v>
      </c>
      <c r="I292" s="62"/>
      <c r="J292" s="193">
        <v>4701</v>
      </c>
      <c r="K292" s="188"/>
      <c r="L292" s="345">
        <v>6519</v>
      </c>
      <c r="M292" s="223"/>
      <c r="N292" s="273">
        <v>13036</v>
      </c>
      <c r="O292" s="272"/>
      <c r="P292" s="401">
        <v>18314</v>
      </c>
      <c r="Q292" s="272"/>
      <c r="R292" s="479">
        <v>18203</v>
      </c>
      <c r="S292" s="457"/>
      <c r="T292" s="578">
        <v>13893</v>
      </c>
      <c r="U292" s="272"/>
      <c r="V292" s="542">
        <v>27500</v>
      </c>
      <c r="W292" s="272"/>
      <c r="X292" s="458">
        <v>27500</v>
      </c>
      <c r="Y292" s="457"/>
      <c r="Z292" s="520">
        <f t="shared" si="221"/>
        <v>0</v>
      </c>
      <c r="AA292" s="573">
        <f t="shared" si="224"/>
        <v>28880</v>
      </c>
      <c r="AB292" s="272"/>
      <c r="AC292" s="529">
        <f t="shared" si="212"/>
        <v>5.0200000000000002E-2</v>
      </c>
      <c r="AD292" s="427">
        <f t="shared" si="225"/>
        <v>30320</v>
      </c>
      <c r="AE292" s="457"/>
      <c r="AF292" s="520">
        <f t="shared" si="213"/>
        <v>4.99E-2</v>
      </c>
    </row>
    <row r="293" spans="1:32" customFormat="1" ht="18" hidden="1" customHeight="1" x14ac:dyDescent="0.25">
      <c r="A293" s="115">
        <v>10</v>
      </c>
      <c r="B293" s="104" t="s">
        <v>345</v>
      </c>
      <c r="C293" s="86" t="s">
        <v>358</v>
      </c>
      <c r="D293" s="61">
        <v>0</v>
      </c>
      <c r="E293" s="62"/>
      <c r="F293" s="193">
        <v>0</v>
      </c>
      <c r="G293" s="188"/>
      <c r="H293" s="141">
        <v>0</v>
      </c>
      <c r="I293" s="62"/>
      <c r="J293" s="193">
        <v>0</v>
      </c>
      <c r="K293" s="188"/>
      <c r="L293" s="345">
        <v>475</v>
      </c>
      <c r="M293" s="223"/>
      <c r="N293" s="273">
        <v>1695</v>
      </c>
      <c r="O293" s="272"/>
      <c r="P293" s="401">
        <v>2701</v>
      </c>
      <c r="Q293" s="272"/>
      <c r="R293" s="479">
        <v>3173</v>
      </c>
      <c r="S293" s="457"/>
      <c r="T293" s="578">
        <v>3233</v>
      </c>
      <c r="U293" s="272"/>
      <c r="V293" s="542">
        <v>3000</v>
      </c>
      <c r="W293" s="272"/>
      <c r="X293" s="458">
        <v>3500</v>
      </c>
      <c r="Y293" s="457"/>
      <c r="Z293" s="521">
        <f t="shared" si="221"/>
        <v>0.16669999999999999</v>
      </c>
      <c r="AA293" s="573">
        <f t="shared" ref="AA293" si="230">ROUND(X293*$AH$1,-1)</f>
        <v>3590</v>
      </c>
      <c r="AB293" s="272"/>
      <c r="AC293" s="530">
        <f t="shared" si="212"/>
        <v>2.5700000000000001E-2</v>
      </c>
      <c r="AD293" s="427">
        <f t="shared" ref="AD293" si="231">ROUND(AA293*$AH$1,-1)</f>
        <v>3680</v>
      </c>
      <c r="AE293" s="457"/>
      <c r="AF293" s="523">
        <f t="shared" si="213"/>
        <v>2.5100000000000001E-2</v>
      </c>
    </row>
    <row r="294" spans="1:32" customFormat="1" ht="18" hidden="1" customHeight="1" x14ac:dyDescent="0.25">
      <c r="A294" s="115">
        <v>11</v>
      </c>
      <c r="B294" s="104"/>
      <c r="C294" s="88" t="s">
        <v>302</v>
      </c>
      <c r="D294" s="47">
        <f>SUM(D284:D293)</f>
        <v>72155</v>
      </c>
      <c r="E294" s="42"/>
      <c r="F294" s="194">
        <f>SUM(F284:F293)</f>
        <v>84357</v>
      </c>
      <c r="G294" s="195"/>
      <c r="H294" s="142">
        <f>SUM(H284:H293)</f>
        <v>93503</v>
      </c>
      <c r="I294" s="42"/>
      <c r="J294" s="194">
        <f>SUM(J284:J293)</f>
        <v>100655</v>
      </c>
      <c r="K294" s="195"/>
      <c r="L294" s="47">
        <f>SUM(L284:L293)</f>
        <v>112674</v>
      </c>
      <c r="M294" s="226"/>
      <c r="N294" s="278">
        <f>SUM(N284:N293)</f>
        <v>135305</v>
      </c>
      <c r="O294" s="279"/>
      <c r="P294" s="404">
        <f>SUM(P284:P293)</f>
        <v>147864</v>
      </c>
      <c r="Q294" s="279"/>
      <c r="R294" s="463">
        <f>SUM(R284:R293)</f>
        <v>138918</v>
      </c>
      <c r="S294" s="464"/>
      <c r="T294" s="404">
        <f>SUM(T284:T293)</f>
        <v>146326</v>
      </c>
      <c r="U294" s="279"/>
      <c r="V294" s="278">
        <f>SUM(V284:V293)</f>
        <v>188000</v>
      </c>
      <c r="W294" s="279"/>
      <c r="X294" s="463">
        <f>SUM(X284:X293)</f>
        <v>179000</v>
      </c>
      <c r="Y294" s="464"/>
      <c r="Z294" s="526">
        <f>ROUND((X294-V294)/V294,4)</f>
        <v>-4.7899999999999998E-2</v>
      </c>
      <c r="AA294" s="404">
        <f>SUM(AA284:AA293)</f>
        <v>185540</v>
      </c>
      <c r="AB294" s="279"/>
      <c r="AC294" s="531">
        <f t="shared" si="212"/>
        <v>3.6499999999999998E-2</v>
      </c>
      <c r="AD294" s="463">
        <f>SUM(AD284:AD293)</f>
        <v>192380</v>
      </c>
      <c r="AE294" s="464"/>
      <c r="AF294" s="526">
        <f t="shared" si="213"/>
        <v>3.6900000000000002E-2</v>
      </c>
    </row>
    <row r="295" spans="1:32" customFormat="1" ht="18" hidden="1" customHeight="1" x14ac:dyDescent="0.25">
      <c r="A295" s="101">
        <v>12</v>
      </c>
      <c r="B295" s="104"/>
      <c r="C295" s="84"/>
      <c r="D295" s="40"/>
      <c r="E295" s="39"/>
      <c r="F295" s="186"/>
      <c r="G295" s="185"/>
      <c r="H295" s="137"/>
      <c r="I295" s="39"/>
      <c r="J295" s="186"/>
      <c r="K295" s="185"/>
      <c r="L295" s="343"/>
      <c r="M295" s="222"/>
      <c r="N295" s="270"/>
      <c r="O295" s="269"/>
      <c r="P295" s="399"/>
      <c r="Q295" s="269"/>
      <c r="R295" s="455"/>
      <c r="S295" s="454"/>
      <c r="T295" s="399"/>
      <c r="U295" s="269"/>
      <c r="V295" s="270"/>
      <c r="W295" s="269"/>
      <c r="X295" s="455"/>
      <c r="Y295" s="454"/>
      <c r="Z295" s="454"/>
      <c r="AA295" s="399"/>
      <c r="AB295" s="269"/>
      <c r="AC295" s="534"/>
      <c r="AD295" s="455"/>
      <c r="AE295" s="454"/>
      <c r="AF295" s="527"/>
    </row>
    <row r="296" spans="1:32" customFormat="1" ht="18" hidden="1" customHeight="1" x14ac:dyDescent="0.25">
      <c r="A296" s="115">
        <v>13</v>
      </c>
      <c r="B296" s="104"/>
      <c r="C296" s="84" t="s">
        <v>303</v>
      </c>
      <c r="D296" s="43"/>
      <c r="E296" s="39"/>
      <c r="F296" s="196"/>
      <c r="G296" s="185"/>
      <c r="H296" s="143"/>
      <c r="I296" s="39"/>
      <c r="J296" s="196"/>
      <c r="K296" s="185"/>
      <c r="L296" s="348"/>
      <c r="M296" s="222"/>
      <c r="N296" s="280"/>
      <c r="O296" s="269"/>
      <c r="P296" s="405"/>
      <c r="Q296" s="269"/>
      <c r="R296" s="465"/>
      <c r="S296" s="454"/>
      <c r="T296" s="405"/>
      <c r="U296" s="269"/>
      <c r="V296" s="280"/>
      <c r="W296" s="269"/>
      <c r="X296" s="465"/>
      <c r="Y296" s="454"/>
      <c r="Z296" s="454"/>
      <c r="AA296" s="405"/>
      <c r="AB296" s="269"/>
      <c r="AC296" s="532"/>
      <c r="AD296" s="465"/>
      <c r="AE296" s="454"/>
      <c r="AF296" s="528"/>
    </row>
    <row r="297" spans="1:32" customFormat="1" ht="18" hidden="1" customHeight="1" x14ac:dyDescent="0.25">
      <c r="A297" s="115">
        <v>14</v>
      </c>
      <c r="B297" s="104" t="s">
        <v>194</v>
      </c>
      <c r="C297" s="86" t="s">
        <v>215</v>
      </c>
      <c r="D297" s="61">
        <v>28575</v>
      </c>
      <c r="E297" s="62"/>
      <c r="F297" s="193">
        <v>29298</v>
      </c>
      <c r="G297" s="188"/>
      <c r="H297" s="141">
        <v>30894</v>
      </c>
      <c r="I297" s="62"/>
      <c r="J297" s="193">
        <v>32008</v>
      </c>
      <c r="K297" s="188"/>
      <c r="L297" s="345">
        <v>32895</v>
      </c>
      <c r="M297" s="223"/>
      <c r="N297" s="273">
        <v>35125</v>
      </c>
      <c r="O297" s="272"/>
      <c r="P297" s="401">
        <v>36867</v>
      </c>
      <c r="Q297" s="272"/>
      <c r="R297" s="458">
        <v>35051</v>
      </c>
      <c r="S297" s="457"/>
      <c r="T297" s="581">
        <v>26427</v>
      </c>
      <c r="U297" s="272"/>
      <c r="V297" s="542">
        <v>35400</v>
      </c>
      <c r="W297" s="272"/>
      <c r="X297" s="427">
        <v>35880</v>
      </c>
      <c r="Y297" s="457"/>
      <c r="Z297" s="520">
        <f t="shared" ref="Z297:Z311" si="232">ROUND((X297-V297)/V297,4)</f>
        <v>1.3599999999999999E-2</v>
      </c>
      <c r="AA297" s="379">
        <v>35880</v>
      </c>
      <c r="AB297" s="272"/>
      <c r="AC297" s="529">
        <f t="shared" si="212"/>
        <v>0</v>
      </c>
      <c r="AD297" s="427">
        <v>36780</v>
      </c>
      <c r="AE297" s="457"/>
      <c r="AF297" s="520">
        <f t="shared" si="213"/>
        <v>2.5100000000000001E-2</v>
      </c>
    </row>
    <row r="298" spans="1:32" customFormat="1" ht="18" hidden="1" customHeight="1" x14ac:dyDescent="0.25">
      <c r="A298" s="101">
        <v>15</v>
      </c>
      <c r="B298" s="104"/>
      <c r="C298" s="86" t="s">
        <v>366</v>
      </c>
      <c r="D298" s="61"/>
      <c r="E298" s="62"/>
      <c r="F298" s="193"/>
      <c r="G298" s="188"/>
      <c r="H298" s="141"/>
      <c r="I298" s="62"/>
      <c r="J298" s="193"/>
      <c r="K298" s="188"/>
      <c r="L298" s="345"/>
      <c r="M298" s="223"/>
      <c r="N298" s="273">
        <v>5523</v>
      </c>
      <c r="O298" s="272"/>
      <c r="P298" s="401">
        <v>6252</v>
      </c>
      <c r="Q298" s="272"/>
      <c r="R298" s="458">
        <v>2725</v>
      </c>
      <c r="S298" s="457"/>
      <c r="T298" s="581">
        <v>322</v>
      </c>
      <c r="U298" s="272"/>
      <c r="V298" s="542">
        <v>6500</v>
      </c>
      <c r="W298" s="272"/>
      <c r="X298" s="458">
        <v>2500</v>
      </c>
      <c r="Y298" s="457"/>
      <c r="Z298" s="520">
        <f t="shared" si="232"/>
        <v>-0.61539999999999995</v>
      </c>
      <c r="AA298" s="573">
        <f t="shared" ref="AA298:AA305" si="233">ROUND(X298*$AH$1,-1)</f>
        <v>2560</v>
      </c>
      <c r="AB298" s="272"/>
      <c r="AC298" s="529">
        <f t="shared" si="212"/>
        <v>2.4E-2</v>
      </c>
      <c r="AD298" s="427">
        <f t="shared" ref="AD298:AD305" si="234">ROUND(AA298*$AH$1,-1)</f>
        <v>2620</v>
      </c>
      <c r="AE298" s="457"/>
      <c r="AF298" s="520">
        <f t="shared" si="213"/>
        <v>2.3400000000000001E-2</v>
      </c>
    </row>
    <row r="299" spans="1:32" customFormat="1" ht="18" hidden="1" customHeight="1" x14ac:dyDescent="0.25">
      <c r="A299" s="115">
        <v>16</v>
      </c>
      <c r="B299" s="104" t="s">
        <v>1</v>
      </c>
      <c r="C299" s="86" t="s">
        <v>328</v>
      </c>
      <c r="D299" s="61">
        <v>1755</v>
      </c>
      <c r="E299" s="62"/>
      <c r="F299" s="193">
        <v>2625</v>
      </c>
      <c r="G299" s="188"/>
      <c r="H299" s="141">
        <v>3420</v>
      </c>
      <c r="I299" s="62"/>
      <c r="J299" s="193">
        <v>5273</v>
      </c>
      <c r="K299" s="188"/>
      <c r="L299" s="345">
        <v>2535</v>
      </c>
      <c r="M299" s="223"/>
      <c r="N299" s="273">
        <v>1936</v>
      </c>
      <c r="O299" s="272"/>
      <c r="P299" s="401">
        <v>3495</v>
      </c>
      <c r="Q299" s="272"/>
      <c r="R299" s="458">
        <v>2948</v>
      </c>
      <c r="S299" s="457"/>
      <c r="T299" s="581">
        <v>2175</v>
      </c>
      <c r="U299" s="272"/>
      <c r="V299" s="542">
        <v>4000</v>
      </c>
      <c r="W299" s="272"/>
      <c r="X299" s="458">
        <v>3200</v>
      </c>
      <c r="Y299" s="457"/>
      <c r="Z299" s="520">
        <f t="shared" si="232"/>
        <v>-0.2</v>
      </c>
      <c r="AA299" s="573">
        <f t="shared" si="233"/>
        <v>3280</v>
      </c>
      <c r="AB299" s="272"/>
      <c r="AC299" s="529">
        <f t="shared" si="212"/>
        <v>2.5000000000000001E-2</v>
      </c>
      <c r="AD299" s="427">
        <f t="shared" si="234"/>
        <v>3360</v>
      </c>
      <c r="AE299" s="457"/>
      <c r="AF299" s="520">
        <f t="shared" si="213"/>
        <v>2.4400000000000002E-2</v>
      </c>
    </row>
    <row r="300" spans="1:32" customFormat="1" ht="18" hidden="1" customHeight="1" x14ac:dyDescent="0.25">
      <c r="A300" s="115">
        <v>17</v>
      </c>
      <c r="B300" s="104" t="s">
        <v>195</v>
      </c>
      <c r="C300" s="86" t="s">
        <v>217</v>
      </c>
      <c r="D300" s="61">
        <v>224</v>
      </c>
      <c r="E300" s="62"/>
      <c r="F300" s="193">
        <v>481</v>
      </c>
      <c r="G300" s="188"/>
      <c r="H300" s="141">
        <v>527</v>
      </c>
      <c r="I300" s="62"/>
      <c r="J300" s="193">
        <v>633</v>
      </c>
      <c r="K300" s="188"/>
      <c r="L300" s="345">
        <v>213</v>
      </c>
      <c r="M300" s="223"/>
      <c r="N300" s="273">
        <v>0</v>
      </c>
      <c r="O300" s="272"/>
      <c r="P300" s="401">
        <v>395</v>
      </c>
      <c r="Q300" s="272"/>
      <c r="R300" s="458">
        <v>420</v>
      </c>
      <c r="S300" s="457"/>
      <c r="T300" s="581">
        <v>400</v>
      </c>
      <c r="U300" s="272"/>
      <c r="V300" s="542">
        <v>500</v>
      </c>
      <c r="W300" s="272"/>
      <c r="X300" s="427">
        <v>500</v>
      </c>
      <c r="Y300" s="457"/>
      <c r="Z300" s="520">
        <f t="shared" si="232"/>
        <v>0</v>
      </c>
      <c r="AA300" s="573">
        <f t="shared" si="233"/>
        <v>510</v>
      </c>
      <c r="AB300" s="272"/>
      <c r="AC300" s="529">
        <f t="shared" si="212"/>
        <v>0.02</v>
      </c>
      <c r="AD300" s="427">
        <f t="shared" si="234"/>
        <v>520</v>
      </c>
      <c r="AE300" s="457"/>
      <c r="AF300" s="520">
        <f t="shared" si="213"/>
        <v>1.9599999999999999E-2</v>
      </c>
    </row>
    <row r="301" spans="1:32" customFormat="1" ht="18" hidden="1" customHeight="1" x14ac:dyDescent="0.25">
      <c r="A301" s="101">
        <v>18</v>
      </c>
      <c r="B301" s="104" t="s">
        <v>196</v>
      </c>
      <c r="C301" s="86" t="s">
        <v>220</v>
      </c>
      <c r="D301" s="61">
        <v>1081</v>
      </c>
      <c r="E301" s="62"/>
      <c r="F301" s="193">
        <v>1066</v>
      </c>
      <c r="G301" s="188"/>
      <c r="H301" s="141">
        <v>1026</v>
      </c>
      <c r="I301" s="62"/>
      <c r="J301" s="193">
        <v>987</v>
      </c>
      <c r="K301" s="188"/>
      <c r="L301" s="345">
        <v>978</v>
      </c>
      <c r="M301" s="223"/>
      <c r="N301" s="273">
        <v>1347</v>
      </c>
      <c r="O301" s="272"/>
      <c r="P301" s="401">
        <v>1407</v>
      </c>
      <c r="Q301" s="272"/>
      <c r="R301" s="458">
        <v>1155</v>
      </c>
      <c r="S301" s="457"/>
      <c r="T301" s="581">
        <v>769</v>
      </c>
      <c r="U301" s="272"/>
      <c r="V301" s="542">
        <v>1200</v>
      </c>
      <c r="W301" s="272"/>
      <c r="X301" s="427">
        <v>1230</v>
      </c>
      <c r="Y301" s="457"/>
      <c r="Z301" s="520">
        <f t="shared" si="232"/>
        <v>2.5000000000000001E-2</v>
      </c>
      <c r="AA301" s="573">
        <f t="shared" si="233"/>
        <v>1260</v>
      </c>
      <c r="AB301" s="272"/>
      <c r="AC301" s="529">
        <f t="shared" si="212"/>
        <v>2.4400000000000002E-2</v>
      </c>
      <c r="AD301" s="427">
        <f t="shared" si="234"/>
        <v>1290</v>
      </c>
      <c r="AE301" s="457"/>
      <c r="AF301" s="520">
        <f t="shared" si="213"/>
        <v>2.3800000000000002E-2</v>
      </c>
    </row>
    <row r="302" spans="1:32" customFormat="1" ht="18" hidden="1" customHeight="1" x14ac:dyDescent="0.25">
      <c r="A302" s="115">
        <v>19</v>
      </c>
      <c r="B302" s="104" t="s">
        <v>197</v>
      </c>
      <c r="C302" s="86" t="s">
        <v>222</v>
      </c>
      <c r="D302" s="61">
        <v>707</v>
      </c>
      <c r="E302" s="62"/>
      <c r="F302" s="193">
        <v>784</v>
      </c>
      <c r="G302" s="188"/>
      <c r="H302" s="141">
        <v>552</v>
      </c>
      <c r="I302" s="62"/>
      <c r="J302" s="193">
        <v>575</v>
      </c>
      <c r="K302" s="188"/>
      <c r="L302" s="345">
        <v>726</v>
      </c>
      <c r="M302" s="223"/>
      <c r="N302" s="273">
        <v>660</v>
      </c>
      <c r="O302" s="272"/>
      <c r="P302" s="401">
        <v>625</v>
      </c>
      <c r="Q302" s="272"/>
      <c r="R302" s="458">
        <v>588</v>
      </c>
      <c r="S302" s="457"/>
      <c r="T302" s="581">
        <v>207</v>
      </c>
      <c r="U302" s="272"/>
      <c r="V302" s="542">
        <v>700</v>
      </c>
      <c r="W302" s="272"/>
      <c r="X302" s="427">
        <v>500</v>
      </c>
      <c r="Y302" s="457"/>
      <c r="Z302" s="520">
        <f t="shared" si="232"/>
        <v>-0.28570000000000001</v>
      </c>
      <c r="AA302" s="573">
        <f t="shared" si="233"/>
        <v>510</v>
      </c>
      <c r="AB302" s="272"/>
      <c r="AC302" s="529">
        <f t="shared" si="212"/>
        <v>0.02</v>
      </c>
      <c r="AD302" s="427">
        <f t="shared" si="234"/>
        <v>520</v>
      </c>
      <c r="AE302" s="457"/>
      <c r="AF302" s="520">
        <f t="shared" si="213"/>
        <v>1.9599999999999999E-2</v>
      </c>
    </row>
    <row r="303" spans="1:32" customFormat="1" ht="18" hidden="1" customHeight="1" x14ac:dyDescent="0.25">
      <c r="A303" s="115">
        <v>20</v>
      </c>
      <c r="B303" s="104" t="s">
        <v>0</v>
      </c>
      <c r="C303" s="86" t="s">
        <v>223</v>
      </c>
      <c r="D303" s="61">
        <v>184</v>
      </c>
      <c r="E303" s="62"/>
      <c r="F303" s="193">
        <v>356</v>
      </c>
      <c r="G303" s="188"/>
      <c r="H303" s="141">
        <v>219</v>
      </c>
      <c r="I303" s="62"/>
      <c r="J303" s="193">
        <v>182</v>
      </c>
      <c r="K303" s="188"/>
      <c r="L303" s="345">
        <v>211</v>
      </c>
      <c r="M303" s="223"/>
      <c r="N303" s="273">
        <v>184</v>
      </c>
      <c r="O303" s="272"/>
      <c r="P303" s="401">
        <v>59</v>
      </c>
      <c r="Q303" s="272"/>
      <c r="R303" s="458">
        <v>45</v>
      </c>
      <c r="S303" s="457"/>
      <c r="T303" s="581">
        <v>49</v>
      </c>
      <c r="U303" s="272"/>
      <c r="V303" s="542">
        <v>200</v>
      </c>
      <c r="W303" s="272"/>
      <c r="X303" s="427">
        <v>100</v>
      </c>
      <c r="Y303" s="457"/>
      <c r="Z303" s="520">
        <f t="shared" si="232"/>
        <v>-0.5</v>
      </c>
      <c r="AA303" s="573">
        <f t="shared" si="233"/>
        <v>100</v>
      </c>
      <c r="AB303" s="272"/>
      <c r="AC303" s="529">
        <f t="shared" si="212"/>
        <v>0</v>
      </c>
      <c r="AD303" s="427">
        <f t="shared" si="234"/>
        <v>100</v>
      </c>
      <c r="AE303" s="457"/>
      <c r="AF303" s="520">
        <f t="shared" si="213"/>
        <v>0</v>
      </c>
    </row>
    <row r="304" spans="1:32" customFormat="1" ht="18" hidden="1" customHeight="1" x14ac:dyDescent="0.25">
      <c r="A304" s="101">
        <v>21</v>
      </c>
      <c r="B304" s="104" t="s">
        <v>304</v>
      </c>
      <c r="C304" s="86" t="s">
        <v>221</v>
      </c>
      <c r="D304" s="61">
        <v>0</v>
      </c>
      <c r="E304" s="62"/>
      <c r="F304" s="193">
        <v>0</v>
      </c>
      <c r="G304" s="188"/>
      <c r="H304" s="141">
        <v>297</v>
      </c>
      <c r="I304" s="62"/>
      <c r="J304" s="193">
        <v>164</v>
      </c>
      <c r="K304" s="188"/>
      <c r="L304" s="345">
        <v>229</v>
      </c>
      <c r="M304" s="223"/>
      <c r="N304" s="273">
        <v>319</v>
      </c>
      <c r="O304" s="272"/>
      <c r="P304" s="401">
        <f>139+17</f>
        <v>156</v>
      </c>
      <c r="Q304" s="272"/>
      <c r="R304" s="458">
        <v>76</v>
      </c>
      <c r="S304" s="457"/>
      <c r="T304" s="581">
        <v>0</v>
      </c>
      <c r="U304" s="272"/>
      <c r="V304" s="542">
        <v>500</v>
      </c>
      <c r="W304" s="272"/>
      <c r="X304" s="458">
        <v>500</v>
      </c>
      <c r="Y304" s="457"/>
      <c r="Z304" s="520">
        <f t="shared" si="232"/>
        <v>0</v>
      </c>
      <c r="AA304" s="573">
        <f t="shared" si="233"/>
        <v>510</v>
      </c>
      <c r="AB304" s="272"/>
      <c r="AC304" s="529">
        <f t="shared" si="212"/>
        <v>0.02</v>
      </c>
      <c r="AD304" s="427">
        <f t="shared" si="234"/>
        <v>520</v>
      </c>
      <c r="AE304" s="457"/>
      <c r="AF304" s="520">
        <f t="shared" si="213"/>
        <v>1.9599999999999999E-2</v>
      </c>
    </row>
    <row r="305" spans="1:32" customFormat="1" ht="18" hidden="1" customHeight="1" x14ac:dyDescent="0.25">
      <c r="A305" s="115">
        <v>22</v>
      </c>
      <c r="B305" s="104" t="s">
        <v>305</v>
      </c>
      <c r="C305" s="86" t="s">
        <v>210</v>
      </c>
      <c r="D305" s="61">
        <v>0</v>
      </c>
      <c r="E305" s="62"/>
      <c r="F305" s="193">
        <v>0</v>
      </c>
      <c r="G305" s="188"/>
      <c r="H305" s="141">
        <v>0</v>
      </c>
      <c r="I305" s="62"/>
      <c r="J305" s="193">
        <v>0</v>
      </c>
      <c r="K305" s="188"/>
      <c r="L305" s="345">
        <v>973</v>
      </c>
      <c r="M305" s="223"/>
      <c r="N305" s="273">
        <v>0</v>
      </c>
      <c r="O305" s="272"/>
      <c r="P305" s="401">
        <v>0</v>
      </c>
      <c r="Q305" s="272"/>
      <c r="R305" s="458">
        <v>0</v>
      </c>
      <c r="S305" s="457"/>
      <c r="T305" s="581">
        <v>0</v>
      </c>
      <c r="U305" s="272"/>
      <c r="V305" s="542">
        <v>0</v>
      </c>
      <c r="W305" s="272"/>
      <c r="X305" s="458">
        <v>1000</v>
      </c>
      <c r="Y305" s="457"/>
      <c r="Z305" s="520" t="e">
        <f t="shared" si="232"/>
        <v>#DIV/0!</v>
      </c>
      <c r="AA305" s="573">
        <f t="shared" si="233"/>
        <v>1030</v>
      </c>
      <c r="AB305" s="272"/>
      <c r="AC305" s="529">
        <f t="shared" si="212"/>
        <v>0.03</v>
      </c>
      <c r="AD305" s="427">
        <f t="shared" si="234"/>
        <v>1060</v>
      </c>
      <c r="AE305" s="457"/>
      <c r="AF305" s="520">
        <f t="shared" si="213"/>
        <v>2.9100000000000001E-2</v>
      </c>
    </row>
    <row r="306" spans="1:32" customFormat="1" ht="18" hidden="1" customHeight="1" x14ac:dyDescent="0.25">
      <c r="A306" s="115">
        <v>23</v>
      </c>
      <c r="B306" s="104" t="s">
        <v>2</v>
      </c>
      <c r="C306" s="86" t="s">
        <v>224</v>
      </c>
      <c r="D306" s="65">
        <v>2037</v>
      </c>
      <c r="E306" s="62"/>
      <c r="F306" s="197">
        <v>1465</v>
      </c>
      <c r="G306" s="188"/>
      <c r="H306" s="144">
        <v>936</v>
      </c>
      <c r="I306" s="62"/>
      <c r="J306" s="197">
        <v>1095</v>
      </c>
      <c r="K306" s="188"/>
      <c r="L306" s="349">
        <v>1913</v>
      </c>
      <c r="M306" s="223"/>
      <c r="N306" s="281">
        <v>2750</v>
      </c>
      <c r="O306" s="272"/>
      <c r="P306" s="406">
        <v>3016</v>
      </c>
      <c r="Q306" s="272"/>
      <c r="R306" s="482">
        <v>3140</v>
      </c>
      <c r="S306" s="457"/>
      <c r="T306" s="582">
        <v>2828</v>
      </c>
      <c r="U306" s="272"/>
      <c r="V306" s="543">
        <v>3770</v>
      </c>
      <c r="W306" s="272"/>
      <c r="X306" s="427">
        <v>3805</v>
      </c>
      <c r="Y306" s="457"/>
      <c r="Z306" s="520">
        <f t="shared" si="232"/>
        <v>9.2999999999999992E-3</v>
      </c>
      <c r="AA306" s="379">
        <v>3915</v>
      </c>
      <c r="AB306" s="272"/>
      <c r="AC306" s="529">
        <f t="shared" si="212"/>
        <v>2.8899999999999999E-2</v>
      </c>
      <c r="AD306" s="427">
        <v>4215</v>
      </c>
      <c r="AE306" s="457"/>
      <c r="AF306" s="520">
        <f t="shared" si="213"/>
        <v>7.6600000000000001E-2</v>
      </c>
    </row>
    <row r="307" spans="1:32" customFormat="1" ht="18" hidden="1" customHeight="1" x14ac:dyDescent="0.25">
      <c r="A307" s="101">
        <v>24</v>
      </c>
      <c r="B307" s="104" t="s">
        <v>3</v>
      </c>
      <c r="C307" s="86" t="s">
        <v>311</v>
      </c>
      <c r="D307" s="61">
        <v>2057</v>
      </c>
      <c r="E307" s="62"/>
      <c r="F307" s="193">
        <v>1998</v>
      </c>
      <c r="G307" s="188"/>
      <c r="H307" s="141">
        <v>2125</v>
      </c>
      <c r="I307" s="62"/>
      <c r="J307" s="193">
        <v>2223</v>
      </c>
      <c r="K307" s="188"/>
      <c r="L307" s="345">
        <v>2268</v>
      </c>
      <c r="M307" s="223"/>
      <c r="N307" s="273">
        <v>2460</v>
      </c>
      <c r="O307" s="272"/>
      <c r="P307" s="401">
        <v>2615</v>
      </c>
      <c r="Q307" s="272"/>
      <c r="R307" s="458">
        <v>2505</v>
      </c>
      <c r="S307" s="457"/>
      <c r="T307" s="581">
        <v>1934</v>
      </c>
      <c r="U307" s="272"/>
      <c r="V307" s="542">
        <v>2640</v>
      </c>
      <c r="W307" s="272"/>
      <c r="X307" s="427">
        <v>2745</v>
      </c>
      <c r="Y307" s="457"/>
      <c r="Z307" s="520">
        <f t="shared" si="232"/>
        <v>3.9800000000000002E-2</v>
      </c>
      <c r="AA307" s="379">
        <v>2745</v>
      </c>
      <c r="AB307" s="272"/>
      <c r="AC307" s="529">
        <f t="shared" si="212"/>
        <v>0</v>
      </c>
      <c r="AD307" s="427">
        <v>2815</v>
      </c>
      <c r="AE307" s="457"/>
      <c r="AF307" s="520">
        <f t="shared" si="213"/>
        <v>2.5499999999999998E-2</v>
      </c>
    </row>
    <row r="308" spans="1:32" customFormat="1" ht="18" hidden="1" customHeight="1" x14ac:dyDescent="0.25">
      <c r="A308" s="115">
        <v>25</v>
      </c>
      <c r="B308" s="104" t="s">
        <v>4</v>
      </c>
      <c r="C308" s="87" t="s">
        <v>225</v>
      </c>
      <c r="D308" s="66">
        <v>2256</v>
      </c>
      <c r="E308" s="64"/>
      <c r="F308" s="198">
        <v>2820</v>
      </c>
      <c r="G308" s="190"/>
      <c r="H308" s="145">
        <v>2933</v>
      </c>
      <c r="I308" s="64"/>
      <c r="J308" s="198">
        <v>3348</v>
      </c>
      <c r="K308" s="190"/>
      <c r="L308" s="350">
        <v>3431</v>
      </c>
      <c r="M308" s="224"/>
      <c r="N308" s="282">
        <v>4087</v>
      </c>
      <c r="O308" s="277"/>
      <c r="P308" s="407">
        <v>4187</v>
      </c>
      <c r="Q308" s="277"/>
      <c r="R308" s="466">
        <v>4560</v>
      </c>
      <c r="S308" s="462"/>
      <c r="T308" s="583">
        <v>3697</v>
      </c>
      <c r="U308" s="277"/>
      <c r="V308" s="540">
        <v>4930</v>
      </c>
      <c r="W308" s="277"/>
      <c r="X308" s="466">
        <v>4955</v>
      </c>
      <c r="Y308" s="462"/>
      <c r="Z308" s="521">
        <f t="shared" si="232"/>
        <v>5.1000000000000004E-3</v>
      </c>
      <c r="AA308" s="407">
        <v>5210</v>
      </c>
      <c r="AB308" s="277"/>
      <c r="AC308" s="530">
        <f t="shared" si="212"/>
        <v>5.1499999999999997E-2</v>
      </c>
      <c r="AD308" s="466">
        <v>5470</v>
      </c>
      <c r="AE308" s="462"/>
      <c r="AF308" s="523">
        <f t="shared" si="213"/>
        <v>4.99E-2</v>
      </c>
    </row>
    <row r="309" spans="1:32" customFormat="1" ht="18" hidden="1" customHeight="1" x14ac:dyDescent="0.25">
      <c r="A309" s="115">
        <v>26</v>
      </c>
      <c r="B309" s="104"/>
      <c r="C309" s="88" t="s">
        <v>226</v>
      </c>
      <c r="D309" s="41">
        <f>SUM(D297:D308)</f>
        <v>38876</v>
      </c>
      <c r="E309" s="42"/>
      <c r="F309" s="194">
        <f>SUM(F297:F308)</f>
        <v>40893</v>
      </c>
      <c r="G309" s="195"/>
      <c r="H309" s="142">
        <f>SUM(H297:H308)</f>
        <v>42929</v>
      </c>
      <c r="I309" s="42"/>
      <c r="J309" s="194">
        <f>SUM(J297:J308)</f>
        <v>46488</v>
      </c>
      <c r="K309" s="195"/>
      <c r="L309" s="47">
        <f>SUM(L297:L308)</f>
        <v>46372</v>
      </c>
      <c r="M309" s="226"/>
      <c r="N309" s="278">
        <f>SUM(N297:N308)</f>
        <v>54391</v>
      </c>
      <c r="O309" s="279"/>
      <c r="P309" s="404">
        <f>SUM(P297:P308)</f>
        <v>59074</v>
      </c>
      <c r="Q309" s="279"/>
      <c r="R309" s="463">
        <f>SUM(R297:R308)</f>
        <v>53213</v>
      </c>
      <c r="S309" s="464"/>
      <c r="T309" s="404">
        <f>SUM(T297:T308)</f>
        <v>38808</v>
      </c>
      <c r="U309" s="279"/>
      <c r="V309" s="278">
        <f>SUM(V297:V308)</f>
        <v>60340</v>
      </c>
      <c r="W309" s="279"/>
      <c r="X309" s="463">
        <f>SUM(X297:X308)</f>
        <v>56915</v>
      </c>
      <c r="Y309" s="464"/>
      <c r="Z309" s="526">
        <f t="shared" si="232"/>
        <v>-5.6800000000000003E-2</v>
      </c>
      <c r="AA309" s="404">
        <f>SUM(AA297:AA308)</f>
        <v>57510</v>
      </c>
      <c r="AB309" s="279"/>
      <c r="AC309" s="531">
        <f t="shared" si="212"/>
        <v>1.0500000000000001E-2</v>
      </c>
      <c r="AD309" s="463">
        <f>SUM(AD297:AD308)</f>
        <v>59270</v>
      </c>
      <c r="AE309" s="464"/>
      <c r="AF309" s="526">
        <f t="shared" si="213"/>
        <v>3.0599999999999999E-2</v>
      </c>
    </row>
    <row r="310" spans="1:32" customFormat="1" ht="18" hidden="1" customHeight="1" x14ac:dyDescent="0.25">
      <c r="A310" s="101">
        <v>27</v>
      </c>
      <c r="B310" s="104"/>
      <c r="C310" s="84"/>
      <c r="D310" s="44"/>
      <c r="E310" s="39"/>
      <c r="F310" s="203"/>
      <c r="G310" s="185"/>
      <c r="H310" s="137"/>
      <c r="I310" s="39"/>
      <c r="J310" s="186"/>
      <c r="K310" s="185"/>
      <c r="L310" s="343"/>
      <c r="M310" s="222"/>
      <c r="N310" s="270"/>
      <c r="O310" s="269"/>
      <c r="P310" s="399"/>
      <c r="Q310" s="269"/>
      <c r="R310" s="455"/>
      <c r="S310" s="454"/>
      <c r="T310" s="399"/>
      <c r="U310" s="269"/>
      <c r="V310" s="270"/>
      <c r="W310" s="269"/>
      <c r="X310" s="455"/>
      <c r="Y310" s="454"/>
      <c r="Z310" s="527"/>
      <c r="AA310" s="399"/>
      <c r="AB310" s="269"/>
      <c r="AC310" s="532"/>
      <c r="AD310" s="455"/>
      <c r="AE310" s="454"/>
      <c r="AF310" s="528"/>
    </row>
    <row r="311" spans="1:32" customFormat="1" ht="18" hidden="1" customHeight="1" thickBot="1" x14ac:dyDescent="0.3">
      <c r="A311" s="115">
        <v>28</v>
      </c>
      <c r="B311" s="104"/>
      <c r="C311" s="89" t="s">
        <v>32</v>
      </c>
      <c r="D311" s="45">
        <f>D294-D309</f>
        <v>33279</v>
      </c>
      <c r="E311" s="46"/>
      <c r="F311" s="199">
        <f>F294-F309</f>
        <v>43464</v>
      </c>
      <c r="G311" s="200"/>
      <c r="H311" s="146">
        <f>H294-H309</f>
        <v>50574</v>
      </c>
      <c r="I311" s="46"/>
      <c r="J311" s="199">
        <f>J294-J309</f>
        <v>54167</v>
      </c>
      <c r="K311" s="200"/>
      <c r="L311" s="351">
        <f>L294-L309</f>
        <v>66302</v>
      </c>
      <c r="M311" s="227"/>
      <c r="N311" s="283">
        <f>N294-N309</f>
        <v>80914</v>
      </c>
      <c r="O311" s="284"/>
      <c r="P311" s="408">
        <f>P294-P309</f>
        <v>88790</v>
      </c>
      <c r="Q311" s="284"/>
      <c r="R311" s="467">
        <f>R294-R309</f>
        <v>85705</v>
      </c>
      <c r="S311" s="468"/>
      <c r="T311" s="408">
        <f>T294-T309</f>
        <v>107518</v>
      </c>
      <c r="U311" s="284"/>
      <c r="V311" s="283">
        <f>V294-V309</f>
        <v>127660</v>
      </c>
      <c r="W311" s="284"/>
      <c r="X311" s="467">
        <f>X294-X309</f>
        <v>122085</v>
      </c>
      <c r="Y311" s="468"/>
      <c r="Z311" s="524">
        <f t="shared" si="232"/>
        <v>-4.3700000000000003E-2</v>
      </c>
      <c r="AA311" s="408">
        <f>AA294-AA309</f>
        <v>128030</v>
      </c>
      <c r="AB311" s="284"/>
      <c r="AC311" s="533">
        <f t="shared" si="212"/>
        <v>4.87E-2</v>
      </c>
      <c r="AD311" s="467">
        <f>AD294-AD309</f>
        <v>133110</v>
      </c>
      <c r="AE311" s="468"/>
      <c r="AF311" s="524">
        <f t="shared" si="213"/>
        <v>3.9699999999999999E-2</v>
      </c>
    </row>
    <row r="312" spans="1:32" customFormat="1" ht="18" customHeight="1" x14ac:dyDescent="0.2">
      <c r="A312" s="10"/>
      <c r="B312" s="70"/>
      <c r="C312" s="12"/>
      <c r="D312" s="6"/>
      <c r="E312" s="10"/>
      <c r="F312" s="6"/>
      <c r="G312" s="10"/>
      <c r="H312" s="14"/>
      <c r="I312" s="11"/>
      <c r="J312" s="11"/>
      <c r="L312" s="11"/>
      <c r="P312" s="228"/>
      <c r="Q312" s="229"/>
      <c r="R312" s="228"/>
      <c r="S312" s="229"/>
      <c r="T312" s="228"/>
      <c r="U312" s="229"/>
      <c r="V312" s="228"/>
      <c r="W312" s="229"/>
      <c r="X312" s="228"/>
      <c r="Y312" s="229"/>
      <c r="Z312" s="229"/>
      <c r="AA312" s="228"/>
      <c r="AB312" s="229"/>
      <c r="AC312" s="229"/>
      <c r="AD312" s="228"/>
      <c r="AE312" s="229"/>
      <c r="AF312" s="229"/>
    </row>
    <row r="313" spans="1:32" customFormat="1" ht="18" customHeight="1" x14ac:dyDescent="0.15">
      <c r="A313" s="10"/>
      <c r="B313" s="70"/>
      <c r="C313" s="10"/>
      <c r="D313" s="10"/>
      <c r="E313" s="6"/>
      <c r="F313" s="10"/>
      <c r="G313" s="6"/>
      <c r="H313" s="14"/>
      <c r="I313" s="11"/>
      <c r="J313" s="11"/>
      <c r="L313" s="11"/>
      <c r="P313" s="228"/>
      <c r="Q313" s="229"/>
      <c r="R313" s="228"/>
      <c r="S313" s="229"/>
      <c r="T313" s="228"/>
      <c r="U313" s="229"/>
      <c r="V313" s="228"/>
      <c r="W313" s="229"/>
      <c r="X313" s="228"/>
      <c r="Y313" s="229"/>
      <c r="Z313" s="229"/>
      <c r="AA313" s="228"/>
      <c r="AB313" s="229"/>
      <c r="AC313" s="229"/>
      <c r="AD313" s="228"/>
      <c r="AE313" s="229"/>
      <c r="AF313" s="229"/>
    </row>
    <row r="314" spans="1:32" customFormat="1" ht="18" customHeight="1" x14ac:dyDescent="0.15">
      <c r="A314" s="10"/>
      <c r="B314" s="70"/>
      <c r="C314" s="10"/>
      <c r="D314" s="10"/>
      <c r="E314" s="6"/>
      <c r="F314" s="10"/>
      <c r="G314" s="6"/>
      <c r="H314" s="14"/>
      <c r="I314" s="11"/>
      <c r="J314" s="11"/>
      <c r="L314" s="11"/>
      <c r="P314" s="228"/>
      <c r="Q314" s="229"/>
      <c r="R314" s="228"/>
      <c r="S314" s="229"/>
      <c r="T314" s="228"/>
      <c r="U314" s="229"/>
      <c r="V314" s="228"/>
      <c r="W314" s="229"/>
      <c r="X314" s="228"/>
      <c r="Y314" s="229"/>
      <c r="Z314" s="229"/>
      <c r="AA314" s="228"/>
      <c r="AB314" s="229"/>
      <c r="AC314" s="229"/>
      <c r="AD314" s="228"/>
      <c r="AE314" s="229"/>
      <c r="AF314" s="229"/>
    </row>
    <row r="315" spans="1:32" customFormat="1" ht="18" customHeight="1" x14ac:dyDescent="0.2">
      <c r="A315" s="10"/>
      <c r="B315" s="70"/>
      <c r="C315" s="9"/>
      <c r="D315" s="10"/>
      <c r="E315" s="6"/>
      <c r="F315" s="10"/>
      <c r="G315" s="6"/>
      <c r="H315" s="14"/>
      <c r="I315" s="11"/>
      <c r="J315" s="11"/>
      <c r="L315" s="11"/>
      <c r="P315" s="228"/>
      <c r="Q315" s="229"/>
      <c r="R315" s="228"/>
      <c r="S315" s="229"/>
      <c r="T315" s="228"/>
      <c r="U315" s="229"/>
      <c r="V315" s="228"/>
      <c r="W315" s="229"/>
      <c r="X315" s="228"/>
      <c r="Y315" s="229"/>
      <c r="Z315" s="229"/>
      <c r="AA315" s="228"/>
      <c r="AB315" s="229"/>
      <c r="AC315" s="229"/>
      <c r="AD315" s="228"/>
      <c r="AE315" s="229"/>
      <c r="AF315" s="229"/>
    </row>
    <row r="316" spans="1:32" customFormat="1" ht="18" customHeight="1" x14ac:dyDescent="0.15">
      <c r="A316" s="10"/>
      <c r="B316" s="70"/>
      <c r="C316" s="10"/>
      <c r="D316" s="10"/>
      <c r="E316" s="6"/>
      <c r="F316" s="10"/>
      <c r="G316" s="6"/>
      <c r="H316" s="14"/>
      <c r="I316" s="11"/>
      <c r="J316" s="11"/>
      <c r="L316" s="11"/>
      <c r="P316" s="228"/>
      <c r="Q316" s="229"/>
      <c r="R316" s="228"/>
      <c r="S316" s="229"/>
      <c r="T316" s="228"/>
      <c r="U316" s="229"/>
      <c r="V316" s="228"/>
      <c r="W316" s="229"/>
      <c r="X316" s="228"/>
      <c r="Y316" s="229"/>
      <c r="Z316" s="229"/>
      <c r="AA316" s="228"/>
      <c r="AB316" s="229"/>
      <c r="AC316" s="229"/>
      <c r="AD316" s="228"/>
      <c r="AE316" s="229"/>
      <c r="AF316" s="229"/>
    </row>
    <row r="317" spans="1:32" customFormat="1" ht="18" customHeight="1" x14ac:dyDescent="0.15">
      <c r="A317" s="10"/>
      <c r="B317" s="70"/>
      <c r="C317" s="10"/>
      <c r="D317" s="10"/>
      <c r="E317" s="6"/>
      <c r="F317" s="10"/>
      <c r="G317" s="6"/>
      <c r="H317" s="14"/>
      <c r="I317" s="11"/>
      <c r="J317" s="11"/>
      <c r="L317" s="11"/>
      <c r="P317" s="228"/>
      <c r="Q317" s="229"/>
      <c r="R317" s="228"/>
      <c r="S317" s="229"/>
      <c r="T317" s="228"/>
      <c r="U317" s="229"/>
      <c r="V317" s="228"/>
      <c r="W317" s="229"/>
      <c r="X317" s="228"/>
      <c r="Y317" s="229"/>
      <c r="Z317" s="229"/>
      <c r="AA317" s="228"/>
      <c r="AB317" s="229"/>
      <c r="AC317" s="229"/>
      <c r="AD317" s="228"/>
      <c r="AE317" s="229"/>
      <c r="AF317" s="229"/>
    </row>
    <row r="318" spans="1:32" customFormat="1" ht="18" customHeight="1" x14ac:dyDescent="0.15">
      <c r="A318" s="10"/>
      <c r="B318" s="70"/>
      <c r="C318" s="10"/>
      <c r="D318" s="10"/>
      <c r="E318" s="6"/>
      <c r="F318" s="10"/>
      <c r="G318" s="6"/>
      <c r="H318" s="14"/>
      <c r="I318" s="11"/>
      <c r="J318" s="11"/>
      <c r="L318" s="11"/>
      <c r="P318" s="228"/>
      <c r="Q318" s="229"/>
      <c r="R318" s="228"/>
      <c r="S318" s="229"/>
      <c r="T318" s="228"/>
      <c r="U318" s="229"/>
      <c r="V318" s="228"/>
      <c r="W318" s="229"/>
      <c r="X318" s="228"/>
      <c r="Y318" s="229"/>
      <c r="Z318" s="229"/>
      <c r="AA318" s="228"/>
      <c r="AB318" s="229"/>
      <c r="AC318" s="229"/>
      <c r="AD318" s="228"/>
      <c r="AE318" s="229"/>
      <c r="AF318" s="229"/>
    </row>
    <row r="319" spans="1:32" customFormat="1" ht="18" customHeight="1" x14ac:dyDescent="0.15">
      <c r="A319" s="10"/>
      <c r="B319" s="70"/>
      <c r="C319" s="10"/>
      <c r="D319" s="10"/>
      <c r="E319" s="6"/>
      <c r="F319" s="10"/>
      <c r="G319" s="6"/>
      <c r="H319" s="14"/>
      <c r="I319" s="11"/>
      <c r="J319" s="11"/>
      <c r="L319" s="11"/>
      <c r="P319" s="228"/>
      <c r="Q319" s="229"/>
      <c r="R319" s="228"/>
      <c r="S319" s="229"/>
      <c r="T319" s="228"/>
      <c r="U319" s="229"/>
      <c r="V319" s="228"/>
      <c r="W319" s="229"/>
      <c r="X319" s="228"/>
      <c r="Y319" s="229"/>
      <c r="Z319" s="229"/>
      <c r="AA319" s="228"/>
      <c r="AB319" s="229"/>
      <c r="AC319" s="229"/>
      <c r="AD319" s="228"/>
      <c r="AE319" s="229"/>
      <c r="AF319" s="229"/>
    </row>
    <row r="320" spans="1:32" customFormat="1" ht="18" customHeight="1" x14ac:dyDescent="0.15">
      <c r="A320" s="10"/>
      <c r="B320" s="70"/>
      <c r="C320" s="10"/>
      <c r="D320" s="10"/>
      <c r="E320" s="6"/>
      <c r="F320" s="10"/>
      <c r="G320" s="6"/>
      <c r="H320" s="14"/>
      <c r="I320" s="11"/>
      <c r="J320" s="11"/>
      <c r="L320" s="11"/>
      <c r="P320" s="228"/>
      <c r="Q320" s="229"/>
      <c r="R320" s="228"/>
      <c r="S320" s="229"/>
      <c r="T320" s="228"/>
      <c r="U320" s="229"/>
      <c r="V320" s="228"/>
      <c r="W320" s="229"/>
      <c r="X320" s="228"/>
      <c r="Y320" s="229"/>
      <c r="Z320" s="229"/>
      <c r="AA320" s="228"/>
      <c r="AB320" s="229"/>
      <c r="AC320" s="229"/>
      <c r="AD320" s="228"/>
      <c r="AE320" s="229"/>
      <c r="AF320" s="229"/>
    </row>
    <row r="321" spans="1:32" customFormat="1" ht="18" customHeight="1" x14ac:dyDescent="0.15">
      <c r="A321" s="10"/>
      <c r="B321" s="70"/>
      <c r="C321" s="10"/>
      <c r="D321" s="10"/>
      <c r="E321" s="6"/>
      <c r="F321" s="10"/>
      <c r="G321" s="6"/>
      <c r="H321" s="14"/>
      <c r="I321" s="11"/>
      <c r="J321" s="11"/>
      <c r="L321" s="11"/>
      <c r="P321" s="228"/>
      <c r="Q321" s="229"/>
      <c r="R321" s="228"/>
      <c r="S321" s="229"/>
      <c r="T321" s="228"/>
      <c r="U321" s="229"/>
      <c r="V321" s="228"/>
      <c r="W321" s="229"/>
      <c r="X321" s="228"/>
      <c r="Y321" s="229"/>
      <c r="Z321" s="229"/>
      <c r="AA321" s="228"/>
      <c r="AB321" s="229"/>
      <c r="AC321" s="229"/>
      <c r="AD321" s="228"/>
      <c r="AE321" s="229"/>
      <c r="AF321" s="229"/>
    </row>
    <row r="322" spans="1:32" customFormat="1" ht="18" customHeight="1" x14ac:dyDescent="0.15">
      <c r="A322" s="10"/>
      <c r="B322" s="70"/>
      <c r="C322" s="10"/>
      <c r="D322" s="10"/>
      <c r="E322" s="6"/>
      <c r="F322" s="10"/>
      <c r="G322" s="6"/>
      <c r="H322" s="14"/>
      <c r="I322" s="11"/>
      <c r="J322" s="11"/>
      <c r="L322" s="11"/>
      <c r="P322" s="228"/>
      <c r="Q322" s="229"/>
      <c r="R322" s="228"/>
      <c r="S322" s="229"/>
      <c r="T322" s="228"/>
      <c r="U322" s="229"/>
      <c r="V322" s="228"/>
      <c r="W322" s="229"/>
      <c r="X322" s="228"/>
      <c r="Y322" s="229"/>
      <c r="Z322" s="229"/>
      <c r="AA322" s="228"/>
      <c r="AB322" s="229"/>
      <c r="AC322" s="229"/>
      <c r="AD322" s="228"/>
      <c r="AE322" s="229"/>
      <c r="AF322" s="229"/>
    </row>
    <row r="323" spans="1:32" customFormat="1" ht="18" customHeight="1" x14ac:dyDescent="0.15">
      <c r="A323" s="10"/>
      <c r="B323" s="70"/>
      <c r="C323" s="10"/>
      <c r="D323" s="10"/>
      <c r="E323" s="6"/>
      <c r="F323" s="10"/>
      <c r="G323" s="6"/>
      <c r="H323" s="14"/>
      <c r="I323" s="11"/>
      <c r="J323" s="11"/>
      <c r="L323" s="11"/>
      <c r="P323" s="228"/>
      <c r="Q323" s="229"/>
      <c r="R323" s="228"/>
      <c r="S323" s="229"/>
      <c r="T323" s="228"/>
      <c r="U323" s="229"/>
      <c r="V323" s="228"/>
      <c r="W323" s="229"/>
      <c r="X323" s="228"/>
      <c r="Y323" s="229"/>
      <c r="Z323" s="229"/>
      <c r="AA323" s="228"/>
      <c r="AB323" s="229"/>
      <c r="AC323" s="229"/>
      <c r="AD323" s="228"/>
      <c r="AE323" s="229"/>
      <c r="AF323" s="229"/>
    </row>
    <row r="324" spans="1:32" customFormat="1" ht="18" customHeight="1" x14ac:dyDescent="0.15">
      <c r="A324" s="10"/>
      <c r="B324" s="70"/>
      <c r="C324" s="10"/>
      <c r="D324" s="10"/>
      <c r="E324" s="6"/>
      <c r="F324" s="10"/>
      <c r="G324" s="6"/>
      <c r="H324" s="14"/>
      <c r="I324" s="11"/>
      <c r="J324" s="11"/>
      <c r="L324" s="11"/>
      <c r="P324" s="228"/>
      <c r="Q324" s="229"/>
      <c r="R324" s="228"/>
      <c r="S324" s="229"/>
      <c r="T324" s="228"/>
      <c r="U324" s="229"/>
      <c r="V324" s="228"/>
      <c r="W324" s="229"/>
      <c r="X324" s="228"/>
      <c r="Y324" s="229"/>
      <c r="Z324" s="229"/>
      <c r="AA324" s="228"/>
      <c r="AB324" s="229"/>
      <c r="AC324" s="229"/>
      <c r="AD324" s="228"/>
      <c r="AE324" s="229"/>
      <c r="AF324" s="229"/>
    </row>
    <row r="325" spans="1:32" customFormat="1" ht="18" customHeight="1" x14ac:dyDescent="0.15">
      <c r="A325" s="10"/>
      <c r="B325" s="70"/>
      <c r="C325" s="10"/>
      <c r="D325" s="10"/>
      <c r="E325" s="6"/>
      <c r="F325" s="10"/>
      <c r="G325" s="6"/>
      <c r="H325" s="14"/>
      <c r="I325" s="11"/>
      <c r="J325" s="11"/>
      <c r="L325" s="11"/>
      <c r="P325" s="228"/>
      <c r="Q325" s="229"/>
      <c r="R325" s="228"/>
      <c r="S325" s="229"/>
      <c r="T325" s="228"/>
      <c r="U325" s="229"/>
      <c r="V325" s="228"/>
      <c r="W325" s="229"/>
      <c r="X325" s="228"/>
      <c r="Y325" s="229"/>
      <c r="Z325" s="229"/>
      <c r="AA325" s="228"/>
      <c r="AB325" s="229"/>
      <c r="AC325" s="229"/>
      <c r="AD325" s="228"/>
      <c r="AE325" s="229"/>
      <c r="AF325" s="229"/>
    </row>
    <row r="326" spans="1:32" customFormat="1" ht="18" customHeight="1" x14ac:dyDescent="0.15">
      <c r="A326" s="10"/>
      <c r="B326" s="70"/>
      <c r="C326" s="10"/>
      <c r="D326" s="10"/>
      <c r="E326" s="6"/>
      <c r="F326" s="10"/>
      <c r="G326" s="6"/>
      <c r="H326" s="14"/>
      <c r="I326" s="11"/>
      <c r="J326" s="11"/>
      <c r="L326" s="11"/>
      <c r="P326" s="228"/>
      <c r="Q326" s="229"/>
      <c r="R326" s="228"/>
      <c r="S326" s="229"/>
      <c r="T326" s="228"/>
      <c r="U326" s="229"/>
      <c r="V326" s="228"/>
      <c r="W326" s="229"/>
      <c r="X326" s="228"/>
      <c r="Y326" s="229"/>
      <c r="Z326" s="229"/>
      <c r="AA326" s="228"/>
      <c r="AB326" s="229"/>
      <c r="AC326" s="229"/>
      <c r="AD326" s="228"/>
      <c r="AE326" s="229"/>
      <c r="AF326" s="229"/>
    </row>
    <row r="327" spans="1:32" customFormat="1" ht="18" customHeight="1" x14ac:dyDescent="0.15">
      <c r="A327" s="10"/>
      <c r="B327" s="70"/>
      <c r="C327" s="10"/>
      <c r="D327" s="10"/>
      <c r="E327" s="6"/>
      <c r="F327" s="10"/>
      <c r="G327" s="6"/>
      <c r="H327" s="14"/>
      <c r="I327" s="11"/>
      <c r="J327" s="11"/>
      <c r="L327" s="11"/>
      <c r="P327" s="228"/>
      <c r="Q327" s="229"/>
      <c r="R327" s="228"/>
      <c r="S327" s="229"/>
      <c r="T327" s="228"/>
      <c r="U327" s="229"/>
      <c r="V327" s="228"/>
      <c r="W327" s="229"/>
      <c r="X327" s="228"/>
      <c r="Y327" s="229"/>
      <c r="Z327" s="229"/>
      <c r="AA327" s="228"/>
      <c r="AB327" s="229"/>
      <c r="AC327" s="229"/>
      <c r="AD327" s="228"/>
      <c r="AE327" s="229"/>
      <c r="AF327" s="229"/>
    </row>
    <row r="328" spans="1:32" customFormat="1" ht="18" customHeight="1" x14ac:dyDescent="0.15">
      <c r="A328" s="10"/>
      <c r="B328" s="70"/>
      <c r="C328" s="10"/>
      <c r="D328" s="10"/>
      <c r="E328" s="6"/>
      <c r="F328" s="10"/>
      <c r="G328" s="6"/>
      <c r="H328" s="14"/>
      <c r="I328" s="11"/>
      <c r="J328" s="11"/>
      <c r="L328" s="11"/>
      <c r="P328" s="228"/>
      <c r="Q328" s="229"/>
      <c r="R328" s="228"/>
      <c r="S328" s="229"/>
      <c r="T328" s="228"/>
      <c r="U328" s="229"/>
      <c r="V328" s="228"/>
      <c r="W328" s="229"/>
      <c r="X328" s="228"/>
      <c r="Y328" s="229"/>
      <c r="Z328" s="229"/>
      <c r="AA328" s="228"/>
      <c r="AB328" s="229"/>
      <c r="AC328" s="229"/>
      <c r="AD328" s="228"/>
      <c r="AE328" s="229"/>
      <c r="AF328" s="229"/>
    </row>
    <row r="329" spans="1:32" customFormat="1" ht="18" customHeight="1" x14ac:dyDescent="0.15">
      <c r="A329" s="10"/>
      <c r="B329" s="70"/>
      <c r="C329" s="10"/>
      <c r="D329" s="10"/>
      <c r="E329" s="6"/>
      <c r="F329" s="10"/>
      <c r="G329" s="6"/>
      <c r="H329" s="14"/>
      <c r="I329" s="11"/>
      <c r="J329" s="11"/>
      <c r="L329" s="11"/>
      <c r="P329" s="228"/>
      <c r="Q329" s="229"/>
      <c r="R329" s="228"/>
      <c r="S329" s="229"/>
      <c r="T329" s="228"/>
      <c r="U329" s="229"/>
      <c r="V329" s="228"/>
      <c r="W329" s="229"/>
      <c r="X329" s="228"/>
      <c r="Y329" s="229"/>
      <c r="Z329" s="229"/>
      <c r="AA329" s="228"/>
      <c r="AB329" s="229"/>
      <c r="AC329" s="229"/>
      <c r="AD329" s="228"/>
      <c r="AE329" s="229"/>
      <c r="AF329" s="229"/>
    </row>
    <row r="330" spans="1:32" customFormat="1" ht="18" customHeight="1" x14ac:dyDescent="0.15">
      <c r="A330" s="10"/>
      <c r="B330" s="70"/>
      <c r="C330" s="10"/>
      <c r="D330" s="10"/>
      <c r="E330" s="6"/>
      <c r="F330" s="10"/>
      <c r="G330" s="6"/>
      <c r="H330" s="14"/>
      <c r="I330" s="11"/>
      <c r="J330" s="11"/>
      <c r="L330" s="11"/>
      <c r="P330" s="228"/>
      <c r="Q330" s="229"/>
      <c r="R330" s="228"/>
      <c r="S330" s="229"/>
      <c r="T330" s="228"/>
      <c r="U330" s="229"/>
      <c r="V330" s="228"/>
      <c r="W330" s="229"/>
      <c r="X330" s="228"/>
      <c r="Y330" s="229"/>
      <c r="Z330" s="229"/>
      <c r="AA330" s="228"/>
      <c r="AB330" s="229"/>
      <c r="AC330" s="229"/>
      <c r="AD330" s="228"/>
      <c r="AE330" s="229"/>
      <c r="AF330" s="229"/>
    </row>
    <row r="331" spans="1:32" customFormat="1" ht="18" customHeight="1" x14ac:dyDescent="0.15">
      <c r="A331" s="10"/>
      <c r="B331" s="70"/>
      <c r="C331" s="10"/>
      <c r="D331" s="10"/>
      <c r="E331" s="6"/>
      <c r="F331" s="10"/>
      <c r="G331" s="6"/>
      <c r="H331" s="14"/>
      <c r="I331" s="11"/>
      <c r="J331" s="11"/>
      <c r="L331" s="11"/>
      <c r="P331" s="228"/>
      <c r="Q331" s="229"/>
      <c r="R331" s="228"/>
      <c r="S331" s="229"/>
      <c r="T331" s="228"/>
      <c r="U331" s="229"/>
      <c r="V331" s="228"/>
      <c r="W331" s="229"/>
      <c r="X331" s="228"/>
      <c r="Y331" s="229"/>
      <c r="Z331" s="229"/>
      <c r="AA331" s="228"/>
      <c r="AB331" s="229"/>
      <c r="AC331" s="229"/>
      <c r="AD331" s="228"/>
      <c r="AE331" s="229"/>
      <c r="AF331" s="229"/>
    </row>
  </sheetData>
  <phoneticPr fontId="10" type="noConversion"/>
  <printOptions horizontalCentered="1"/>
  <pageMargins left="0" right="0" top="1" bottom="1" header="0.25" footer="0.25"/>
  <pageSetup scale="68" fitToHeight="2" orientation="landscape" r:id="rId1"/>
  <headerFooter alignWithMargins="0">
    <oddHeader>&amp;C&amp;"Times New Roman,Bold"&amp;12University of North Carolina Press -- FY12 - FY14 Three-Year Budget Approved by Finance Committee 4/20/2011 for Approval by Press BOG</oddHeader>
  </headerFooter>
  <rowBreaks count="10" manualBreakCount="10">
    <brk id="34" max="31" man="1"/>
    <brk id="64" max="31" man="1"/>
    <brk id="82" max="31" man="1"/>
    <brk id="98" max="31" man="1"/>
    <brk id="113" max="31" man="1"/>
    <brk id="145" max="31" man="1"/>
    <brk id="202" max="31" man="1"/>
    <brk id="235" max="31" man="1"/>
    <brk id="263" max="31" man="1"/>
    <brk id="280" max="31" man="1"/>
  </rowBreaks>
  <ignoredErrors>
    <ignoredError sqref="S9" formula="1"/>
    <ignoredError sqref="R81 R97 R213 R234 R27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budget</vt:lpstr>
      <vt:lpstr>budget!Print_Area</vt:lpstr>
      <vt:lpstr>Print_Area</vt:lpstr>
      <vt:lpstr>budget!Print_Titles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</cp:lastModifiedBy>
  <cp:lastPrinted>2011-05-05T16:45:41Z</cp:lastPrinted>
  <dcterms:created xsi:type="dcterms:W3CDTF">2000-05-01T18:23:37Z</dcterms:created>
  <dcterms:modified xsi:type="dcterms:W3CDTF">2011-05-06T14:47:31Z</dcterms:modified>
</cp:coreProperties>
</file>