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2040" windowWidth="15345" windowHeight="7455" tabRatio="127"/>
  </bookViews>
  <sheets>
    <sheet name="budget" sheetId="1" r:id="rId1"/>
  </sheets>
  <definedNames>
    <definedName name="\A">budget!#REF!</definedName>
    <definedName name="\B">budget!#REF!</definedName>
    <definedName name="_xlnm.Print_Area" localSheetId="0">budget!$A$1:$AU$54</definedName>
    <definedName name="_xlnm.Print_Area">budget!$A$296:$F$298</definedName>
    <definedName name="_xlnm.Print_Titles" localSheetId="0">budget!$1:$4</definedName>
    <definedName name="_xlnm.Print_Titles">budget!$1:$4</definedName>
  </definedNames>
  <calcPr calcId="145621"/>
</workbook>
</file>

<file path=xl/calcChain.xml><?xml version="1.0" encoding="utf-8"?>
<calcChain xmlns="http://schemas.openxmlformats.org/spreadsheetml/2006/main">
  <c r="AD206" i="1" l="1"/>
  <c r="AF171" i="1"/>
  <c r="AD124" i="1"/>
  <c r="AF294" i="1"/>
  <c r="AF293" i="1"/>
  <c r="AF292" i="1"/>
  <c r="AF291" i="1"/>
  <c r="AF290" i="1"/>
  <c r="AF289" i="1"/>
  <c r="AF288" i="1"/>
  <c r="AF287" i="1"/>
  <c r="AF286" i="1"/>
  <c r="AF285" i="1"/>
  <c r="AF284" i="1"/>
  <c r="AF280" i="1"/>
  <c r="AF279" i="1"/>
  <c r="AF278" i="1"/>
  <c r="AF277" i="1"/>
  <c r="AF276" i="1"/>
  <c r="AF275" i="1"/>
  <c r="AF274" i="1"/>
  <c r="AF273" i="1"/>
  <c r="AF272" i="1"/>
  <c r="AF271" i="1"/>
  <c r="AF265" i="1"/>
  <c r="AF264" i="1"/>
  <c r="AF263" i="1"/>
  <c r="AF262" i="1"/>
  <c r="AF261" i="1"/>
  <c r="AF260" i="1"/>
  <c r="AF259" i="1"/>
  <c r="AF258" i="1"/>
  <c r="AF257" i="1"/>
  <c r="AF255" i="1"/>
  <c r="AF254" i="1"/>
  <c r="AF252" i="1"/>
  <c r="AF251" i="1"/>
  <c r="AF250" i="1"/>
  <c r="AF249" i="1"/>
  <c r="AF248" i="1"/>
  <c r="AF247" i="1"/>
  <c r="AF245" i="1"/>
  <c r="AF243" i="1"/>
  <c r="AF242" i="1"/>
  <c r="AF241" i="1"/>
  <c r="AF239" i="1"/>
  <c r="AF238" i="1"/>
  <c r="AF237" i="1"/>
  <c r="AF236" i="1"/>
  <c r="AF235" i="1"/>
  <c r="AF233" i="1"/>
  <c r="AF232" i="1"/>
  <c r="AF231" i="1"/>
  <c r="AF230" i="1"/>
  <c r="AF224" i="1"/>
  <c r="AF223" i="1"/>
  <c r="AF222" i="1"/>
  <c r="AF221" i="1"/>
  <c r="AF220" i="1"/>
  <c r="AF219" i="1"/>
  <c r="AF217" i="1"/>
  <c r="AF212" i="1"/>
  <c r="AF211" i="1"/>
  <c r="AF210" i="1"/>
  <c r="AF206" i="1"/>
  <c r="AF205" i="1"/>
  <c r="AF204" i="1"/>
  <c r="AF203" i="1"/>
  <c r="AF202" i="1"/>
  <c r="AF197" i="1"/>
  <c r="AF196" i="1"/>
  <c r="AF195" i="1"/>
  <c r="AF194" i="1"/>
  <c r="AF193" i="1"/>
  <c r="AF192" i="1"/>
  <c r="AF191" i="1"/>
  <c r="AF173" i="1"/>
  <c r="AF172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3" i="1"/>
  <c r="AF122" i="1"/>
  <c r="AF121" i="1"/>
  <c r="AF120" i="1"/>
  <c r="AF119" i="1"/>
  <c r="AF118" i="1"/>
  <c r="AF117" i="1"/>
  <c r="AF116" i="1"/>
  <c r="AF115" i="1"/>
  <c r="AF114" i="1"/>
  <c r="AF113" i="1"/>
  <c r="AF109" i="1"/>
  <c r="AF108" i="1"/>
  <c r="AF107" i="1"/>
  <c r="AF103" i="1"/>
  <c r="AF102" i="1"/>
  <c r="AF101" i="1"/>
  <c r="AF100" i="1"/>
  <c r="AF99" i="1"/>
  <c r="AF98" i="1"/>
  <c r="AF97" i="1"/>
  <c r="AF96" i="1"/>
  <c r="AF95" i="1"/>
  <c r="AF94" i="1"/>
  <c r="AF89" i="1"/>
  <c r="AF88" i="1"/>
  <c r="AF87" i="1"/>
  <c r="AF86" i="1"/>
  <c r="AF85" i="1"/>
  <c r="AF84" i="1"/>
  <c r="AF83" i="1"/>
  <c r="AF81" i="1"/>
  <c r="AF76" i="1"/>
  <c r="AF75" i="1"/>
  <c r="AF74" i="1"/>
  <c r="AF73" i="1"/>
  <c r="AF72" i="1"/>
  <c r="AF71" i="1"/>
  <c r="AF69" i="1"/>
  <c r="AF68" i="1"/>
  <c r="AF67" i="1"/>
  <c r="AF66" i="1"/>
  <c r="AF64" i="1"/>
  <c r="AF43" i="1"/>
  <c r="AF42" i="1"/>
  <c r="AF41" i="1"/>
  <c r="AF40" i="1"/>
  <c r="AF38" i="1"/>
  <c r="AR43" i="1" l="1"/>
  <c r="AR243" i="1"/>
  <c r="AR17" i="1"/>
  <c r="AD48" i="1"/>
  <c r="AD43" i="1"/>
  <c r="AD274" i="1"/>
  <c r="AD261" i="1" l="1"/>
  <c r="AD137" i="1"/>
  <c r="AD99" i="1"/>
  <c r="AD5" i="1"/>
  <c r="AD19" i="1"/>
  <c r="AD18" i="1"/>
  <c r="AD15" i="1"/>
  <c r="AD14" i="1"/>
  <c r="AD13" i="1"/>
  <c r="AD9" i="1"/>
  <c r="AD6" i="1"/>
  <c r="AC52" i="1" l="1"/>
  <c r="AC51" i="1"/>
  <c r="AC50" i="1"/>
  <c r="AC48" i="1"/>
  <c r="AC43" i="1"/>
  <c r="AC42" i="1"/>
  <c r="AC41" i="1"/>
  <c r="AC40" i="1"/>
  <c r="AC38" i="1"/>
  <c r="AC23" i="1"/>
  <c r="AC21" i="1"/>
  <c r="AC20" i="1"/>
  <c r="AC19" i="1"/>
  <c r="AC18" i="1"/>
  <c r="AC17" i="1"/>
  <c r="AC16" i="1"/>
  <c r="AC15" i="1"/>
  <c r="AC14" i="1"/>
  <c r="AC13" i="1"/>
  <c r="AC11" i="1"/>
  <c r="AC10" i="1"/>
  <c r="AC9" i="1"/>
  <c r="AC8" i="1"/>
  <c r="AC7" i="1"/>
  <c r="AC6" i="1"/>
  <c r="AC5" i="1"/>
  <c r="Z263" i="1" l="1"/>
  <c r="Z13" i="1" l="1"/>
  <c r="Z14" i="1"/>
  <c r="Z15" i="1"/>
  <c r="Z70" i="1" l="1"/>
  <c r="Z233" i="1" l="1"/>
  <c r="Z205" i="1" l="1"/>
  <c r="Z204" i="1"/>
  <c r="Z203" i="1"/>
  <c r="Z82" i="1"/>
  <c r="Z95" i="1"/>
  <c r="Z19" i="1" l="1"/>
  <c r="Z9" i="1"/>
  <c r="Z5" i="1"/>
  <c r="Z7" i="1"/>
  <c r="Z18" i="1" l="1"/>
  <c r="Z265" i="1" l="1"/>
  <c r="Z264" i="1"/>
  <c r="Z229" i="1" l="1"/>
  <c r="AB51" i="1"/>
  <c r="AB52" i="1" s="1"/>
  <c r="AB50" i="1"/>
  <c r="AB48" i="1"/>
  <c r="AB43" i="1"/>
  <c r="AB42" i="1"/>
  <c r="AB41" i="1"/>
  <c r="AB40" i="1"/>
  <c r="AB38" i="1"/>
  <c r="AB20" i="1"/>
  <c r="AB19" i="1"/>
  <c r="AB18" i="1"/>
  <c r="AB17" i="1"/>
  <c r="AB16" i="1"/>
  <c r="AB15" i="1"/>
  <c r="AB14" i="1"/>
  <c r="AB13" i="1"/>
  <c r="AB10" i="1"/>
  <c r="AB9" i="1"/>
  <c r="AB7" i="1"/>
  <c r="AB6" i="1"/>
  <c r="AB5" i="1"/>
  <c r="AB294" i="1"/>
  <c r="AB293" i="1"/>
  <c r="AB292" i="1"/>
  <c r="AB291" i="1"/>
  <c r="AB290" i="1"/>
  <c r="AB289" i="1"/>
  <c r="AB288" i="1"/>
  <c r="AB287" i="1"/>
  <c r="AB286" i="1"/>
  <c r="AB285" i="1"/>
  <c r="AB284" i="1"/>
  <c r="AB280" i="1"/>
  <c r="AB279" i="1"/>
  <c r="AB278" i="1"/>
  <c r="AB277" i="1"/>
  <c r="AB276" i="1"/>
  <c r="AB275" i="1"/>
  <c r="AB274" i="1"/>
  <c r="AB273" i="1"/>
  <c r="AB272" i="1"/>
  <c r="AB271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4" i="1"/>
  <c r="AB223" i="1"/>
  <c r="AB222" i="1"/>
  <c r="AB221" i="1"/>
  <c r="AB220" i="1"/>
  <c r="AB219" i="1"/>
  <c r="AB218" i="1"/>
  <c r="AB217" i="1"/>
  <c r="AB212" i="1"/>
  <c r="AB211" i="1"/>
  <c r="AB210" i="1"/>
  <c r="AB209" i="1"/>
  <c r="AB208" i="1"/>
  <c r="AB207" i="1"/>
  <c r="AB206" i="1"/>
  <c r="AB205" i="1"/>
  <c r="AB204" i="1"/>
  <c r="AB203" i="1"/>
  <c r="AB202" i="1"/>
  <c r="AB197" i="1"/>
  <c r="AB196" i="1"/>
  <c r="AB195" i="1"/>
  <c r="AB194" i="1"/>
  <c r="AB193" i="1"/>
  <c r="AB192" i="1"/>
  <c r="AB191" i="1"/>
  <c r="AB173" i="1"/>
  <c r="AB172" i="1"/>
  <c r="AB171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3" i="1"/>
  <c r="AB102" i="1"/>
  <c r="AB101" i="1"/>
  <c r="AB100" i="1"/>
  <c r="AB99" i="1"/>
  <c r="AB98" i="1"/>
  <c r="AB97" i="1"/>
  <c r="AB96" i="1"/>
  <c r="AB95" i="1"/>
  <c r="AB94" i="1"/>
  <c r="AB89" i="1"/>
  <c r="AB88" i="1"/>
  <c r="AB87" i="1"/>
  <c r="AB86" i="1"/>
  <c r="AB85" i="1"/>
  <c r="AB84" i="1"/>
  <c r="AB83" i="1"/>
  <c r="AB82" i="1"/>
  <c r="AB81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187" i="1" l="1"/>
  <c r="AB295" i="1"/>
  <c r="AB90" i="1"/>
  <c r="AB104" i="1"/>
  <c r="AB8" i="1"/>
  <c r="AB11" i="1" s="1"/>
  <c r="AB21" i="1"/>
  <c r="AB281" i="1"/>
  <c r="AB297" i="1" s="1"/>
  <c r="AB77" i="1"/>
  <c r="AB266" i="1"/>
  <c r="AB225" i="1"/>
  <c r="AB213" i="1"/>
  <c r="AB198" i="1"/>
  <c r="AB146" i="1"/>
  <c r="Z295" i="1"/>
  <c r="Z281" i="1"/>
  <c r="Z269" i="1"/>
  <c r="Z301" i="1" s="1"/>
  <c r="Z304" i="1"/>
  <c r="Z303" i="1"/>
  <c r="Z225" i="1"/>
  <c r="Z32" i="1" s="1"/>
  <c r="Z213" i="1"/>
  <c r="Z198" i="1"/>
  <c r="Z305" i="1"/>
  <c r="Z187" i="1"/>
  <c r="Z146" i="1"/>
  <c r="Z28" i="1" s="1"/>
  <c r="Z104" i="1"/>
  <c r="Z27" i="1" s="1"/>
  <c r="Z90" i="1"/>
  <c r="Z77" i="1"/>
  <c r="Z25" i="1" s="1"/>
  <c r="Z52" i="1"/>
  <c r="Z48" i="1"/>
  <c r="Z21" i="1"/>
  <c r="Z8" i="1"/>
  <c r="AA7" i="1" s="1"/>
  <c r="AB23" i="1" l="1"/>
  <c r="AA10" i="1"/>
  <c r="AA5" i="1"/>
  <c r="Z11" i="1"/>
  <c r="AA48" i="1" s="1"/>
  <c r="Z297" i="1"/>
  <c r="Z39" i="1" s="1"/>
  <c r="Z30" i="1"/>
  <c r="Z306" i="1"/>
  <c r="Z266" i="1"/>
  <c r="Z302" i="1"/>
  <c r="AA9" i="1"/>
  <c r="AA8" i="1" s="1"/>
  <c r="AA11" i="1" s="1"/>
  <c r="AA6" i="1"/>
  <c r="Z26" i="1"/>
  <c r="Z31" i="1"/>
  <c r="AA120" i="1"/>
  <c r="Z29" i="1"/>
  <c r="AA251" i="1" l="1"/>
  <c r="AA18" i="1"/>
  <c r="AA265" i="1"/>
  <c r="AA139" i="1"/>
  <c r="Z23" i="1"/>
  <c r="AA23" i="1" s="1"/>
  <c r="AA233" i="1"/>
  <c r="AA194" i="1"/>
  <c r="AA192" i="1"/>
  <c r="AA13" i="1"/>
  <c r="AA238" i="1"/>
  <c r="AA173" i="1"/>
  <c r="AA86" i="1"/>
  <c r="AA42" i="1"/>
  <c r="AA85" i="1"/>
  <c r="AA218" i="1"/>
  <c r="AA94" i="1"/>
  <c r="AA256" i="1"/>
  <c r="AA83" i="1"/>
  <c r="AA117" i="1"/>
  <c r="AA64" i="1"/>
  <c r="AA255" i="1"/>
  <c r="AA203" i="1"/>
  <c r="AA237" i="1"/>
  <c r="AA101" i="1"/>
  <c r="AA229" i="1"/>
  <c r="AA232" i="1"/>
  <c r="AA65" i="1"/>
  <c r="AA198" i="1"/>
  <c r="AA70" i="1"/>
  <c r="AA204" i="1"/>
  <c r="AA76" i="1"/>
  <c r="AA196" i="1"/>
  <c r="AA145" i="1"/>
  <c r="AA27" i="1"/>
  <c r="AA38" i="1"/>
  <c r="AA114" i="1"/>
  <c r="AA191" i="1"/>
  <c r="AA21" i="1"/>
  <c r="AA73" i="1"/>
  <c r="AA110" i="1"/>
  <c r="AA141" i="1"/>
  <c r="AA223" i="1"/>
  <c r="AA14" i="1"/>
  <c r="AA50" i="1"/>
  <c r="AA82" i="1"/>
  <c r="AA104" i="1"/>
  <c r="AA134" i="1"/>
  <c r="AA209" i="1"/>
  <c r="AA259" i="1"/>
  <c r="AA243" i="1"/>
  <c r="AA225" i="1"/>
  <c r="AA262" i="1"/>
  <c r="AA246" i="1"/>
  <c r="AA230" i="1"/>
  <c r="AA207" i="1"/>
  <c r="AA144" i="1"/>
  <c r="AA128" i="1"/>
  <c r="AA112" i="1"/>
  <c r="AA95" i="1"/>
  <c r="AA75" i="1"/>
  <c r="AA43" i="1"/>
  <c r="AA257" i="1"/>
  <c r="AA241" i="1"/>
  <c r="AA220" i="1"/>
  <c r="AA193" i="1"/>
  <c r="AA131" i="1"/>
  <c r="AA115" i="1"/>
  <c r="AA97" i="1"/>
  <c r="AA248" i="1"/>
  <c r="AA244" i="1"/>
  <c r="AA88" i="1"/>
  <c r="AA260" i="1"/>
  <c r="AA90" i="1"/>
  <c r="AA52" i="1"/>
  <c r="AA66" i="1"/>
  <c r="AA122" i="1"/>
  <c r="AA205" i="1"/>
  <c r="AA77" i="1"/>
  <c r="AA172" i="1"/>
  <c r="AA236" i="1"/>
  <c r="AA19" i="1"/>
  <c r="AA87" i="1"/>
  <c r="AA111" i="1"/>
  <c r="AA142" i="1"/>
  <c r="AA240" i="1"/>
  <c r="AA239" i="1"/>
  <c r="AA222" i="1"/>
  <c r="AA258" i="1"/>
  <c r="AA242" i="1"/>
  <c r="AA221" i="1"/>
  <c r="AA140" i="1"/>
  <c r="AA124" i="1"/>
  <c r="AA108" i="1"/>
  <c r="AA89" i="1"/>
  <c r="AA71" i="1"/>
  <c r="AA17" i="1"/>
  <c r="AA253" i="1"/>
  <c r="AA210" i="1"/>
  <c r="AA143" i="1"/>
  <c r="AA127" i="1"/>
  <c r="AA25" i="1"/>
  <c r="AA109" i="1"/>
  <c r="AA15" i="1"/>
  <c r="AA129" i="1"/>
  <c r="AA20" i="1"/>
  <c r="AA107" i="1"/>
  <c r="AA96" i="1"/>
  <c r="AA32" i="1"/>
  <c r="AA28" i="1"/>
  <c r="AA72" i="1"/>
  <c r="AA138" i="1"/>
  <c r="AA219" i="1"/>
  <c r="AA119" i="1"/>
  <c r="AA202" i="1"/>
  <c r="AA245" i="1"/>
  <c r="AA51" i="1"/>
  <c r="AA99" i="1"/>
  <c r="AA132" i="1"/>
  <c r="AA211" i="1"/>
  <c r="AA250" i="1"/>
  <c r="AA231" i="1"/>
  <c r="AA213" i="1"/>
  <c r="AA126" i="1"/>
  <c r="AA74" i="1"/>
  <c r="AA263" i="1"/>
  <c r="AA133" i="1"/>
  <c r="AA68" i="1"/>
  <c r="AA146" i="1"/>
  <c r="AA187" i="1"/>
  <c r="AA264" i="1"/>
  <c r="AA130" i="1"/>
  <c r="AA123" i="1"/>
  <c r="AA206" i="1"/>
  <c r="AA249" i="1"/>
  <c r="AA67" i="1"/>
  <c r="AA103" i="1"/>
  <c r="AA136" i="1"/>
  <c r="AA217" i="1"/>
  <c r="AA254" i="1"/>
  <c r="AA235" i="1"/>
  <c r="AA118" i="1"/>
  <c r="AA69" i="1"/>
  <c r="AA252" i="1"/>
  <c r="AA125" i="1"/>
  <c r="AA39" i="1"/>
  <c r="AA102" i="1"/>
  <c r="AA113" i="1"/>
  <c r="AA41" i="1"/>
  <c r="AA197" i="1"/>
  <c r="AA84" i="1"/>
  <c r="AA135" i="1"/>
  <c r="AA224" i="1"/>
  <c r="AA261" i="1"/>
  <c r="AA81" i="1"/>
  <c r="AA116" i="1"/>
  <c r="AA171" i="1"/>
  <c r="AA234" i="1"/>
  <c r="AA212" i="1"/>
  <c r="AA247" i="1"/>
  <c r="AA195" i="1"/>
  <c r="AA100" i="1"/>
  <c r="AA40" i="1"/>
  <c r="AA208" i="1"/>
  <c r="AA98" i="1"/>
  <c r="AA16" i="1"/>
  <c r="AA137" i="1"/>
  <c r="AA121" i="1"/>
  <c r="Z44" i="1"/>
  <c r="AA44" i="1" s="1"/>
  <c r="Z307" i="1"/>
  <c r="Z310" i="1" s="1"/>
  <c r="AA31" i="1"/>
  <c r="AA30" i="1"/>
  <c r="AA26" i="1"/>
  <c r="AA29" i="1"/>
  <c r="AA266" i="1"/>
  <c r="Z33" i="1"/>
  <c r="AF20" i="1"/>
  <c r="AF19" i="1"/>
  <c r="AF17" i="1"/>
  <c r="AF15" i="1"/>
  <c r="AF14" i="1"/>
  <c r="AF13" i="1"/>
  <c r="AA33" i="1" l="1"/>
  <c r="Z34" i="1"/>
  <c r="AF10" i="1"/>
  <c r="AF9" i="1"/>
  <c r="AF7" i="1"/>
  <c r="AF6" i="1"/>
  <c r="AF5" i="1"/>
  <c r="AA34" i="1" l="1"/>
  <c r="Z309" i="1"/>
  <c r="Z36" i="1"/>
  <c r="AA36" i="1" l="1"/>
  <c r="Z46" i="1"/>
  <c r="AD96" i="1"/>
  <c r="AA46" i="1" l="1"/>
  <c r="Z54" i="1"/>
  <c r="AA54" i="1" s="1"/>
  <c r="AR77" i="1" l="1"/>
  <c r="AD221" i="1" l="1"/>
  <c r="AJ263" i="1" l="1"/>
  <c r="AJ303" i="1" s="1"/>
  <c r="AJ265" i="1"/>
  <c r="AJ264" i="1"/>
  <c r="AJ229" i="1"/>
  <c r="AJ197" i="1"/>
  <c r="AJ305" i="1" s="1"/>
  <c r="AJ304" i="1"/>
  <c r="AJ302" i="1"/>
  <c r="AJ295" i="1"/>
  <c r="AJ281" i="1"/>
  <c r="AJ269" i="1"/>
  <c r="AJ301" i="1" s="1"/>
  <c r="AJ225" i="1"/>
  <c r="AJ32" i="1" s="1"/>
  <c r="AB32" i="1" s="1"/>
  <c r="AC32" i="1" s="1"/>
  <c r="AJ213" i="1"/>
  <c r="AJ31" i="1" s="1"/>
  <c r="AB31" i="1" s="1"/>
  <c r="AC31" i="1" s="1"/>
  <c r="AJ187" i="1"/>
  <c r="AJ146" i="1"/>
  <c r="AJ104" i="1"/>
  <c r="AJ27" i="1" s="1"/>
  <c r="AB27" i="1" s="1"/>
  <c r="AC27" i="1" s="1"/>
  <c r="AJ90" i="1"/>
  <c r="AJ77" i="1"/>
  <c r="AJ25" i="1" s="1"/>
  <c r="AB25" i="1" s="1"/>
  <c r="AJ52" i="1"/>
  <c r="AJ48" i="1"/>
  <c r="AJ29" i="1"/>
  <c r="AB29" i="1" s="1"/>
  <c r="AC29" i="1" s="1"/>
  <c r="AJ26" i="1"/>
  <c r="AB26" i="1" s="1"/>
  <c r="AC26" i="1" s="1"/>
  <c r="AJ21" i="1"/>
  <c r="AJ8" i="1"/>
  <c r="AC25" i="1" l="1"/>
  <c r="AJ297" i="1"/>
  <c r="AJ39" i="1" s="1"/>
  <c r="AJ266" i="1"/>
  <c r="AJ33" i="1" s="1"/>
  <c r="AB33" i="1" s="1"/>
  <c r="AC33" i="1" s="1"/>
  <c r="AJ198" i="1"/>
  <c r="AJ30" i="1" s="1"/>
  <c r="AB30" i="1" s="1"/>
  <c r="AC30" i="1" s="1"/>
  <c r="AJ306" i="1"/>
  <c r="AJ307" i="1" s="1"/>
  <c r="AK10" i="1"/>
  <c r="AK7" i="1"/>
  <c r="AK5" i="1"/>
  <c r="AK9" i="1"/>
  <c r="AK8" i="1" s="1"/>
  <c r="AK11" i="1" s="1"/>
  <c r="AJ28" i="1"/>
  <c r="AK6" i="1"/>
  <c r="AJ11" i="1"/>
  <c r="AK29" i="1" s="1"/>
  <c r="AK21" i="1"/>
  <c r="AK28" i="1" l="1"/>
  <c r="AB28" i="1"/>
  <c r="AJ44" i="1"/>
  <c r="AF39" i="1"/>
  <c r="AB39" i="1"/>
  <c r="AK27" i="1"/>
  <c r="AJ310" i="1"/>
  <c r="AK32" i="1"/>
  <c r="AK30" i="1"/>
  <c r="AK77" i="1"/>
  <c r="AK146" i="1"/>
  <c r="AK31" i="1"/>
  <c r="AK198" i="1"/>
  <c r="AK25" i="1"/>
  <c r="AK33" i="1"/>
  <c r="AK263" i="1"/>
  <c r="AK259" i="1"/>
  <c r="AK255" i="1"/>
  <c r="AK251" i="1"/>
  <c r="AK247" i="1"/>
  <c r="AK243" i="1"/>
  <c r="AK239" i="1"/>
  <c r="AK235" i="1"/>
  <c r="AK231" i="1"/>
  <c r="AK221" i="1"/>
  <c r="AK217" i="1"/>
  <c r="AK211" i="1"/>
  <c r="AK207" i="1"/>
  <c r="AK203" i="1"/>
  <c r="AK197" i="1"/>
  <c r="AK193" i="1"/>
  <c r="AK143" i="1"/>
  <c r="AK139" i="1"/>
  <c r="AK135" i="1"/>
  <c r="AK131" i="1"/>
  <c r="AK127" i="1"/>
  <c r="AK123" i="1"/>
  <c r="AK119" i="1"/>
  <c r="AK115" i="1"/>
  <c r="AK111" i="1"/>
  <c r="AK107" i="1"/>
  <c r="AK102" i="1"/>
  <c r="AK98" i="1"/>
  <c r="AK94" i="1"/>
  <c r="AK88" i="1"/>
  <c r="AK84" i="1"/>
  <c r="AK74" i="1"/>
  <c r="AK70" i="1"/>
  <c r="AK66" i="1"/>
  <c r="AK50" i="1"/>
  <c r="AK42" i="1"/>
  <c r="AK265" i="1"/>
  <c r="AK261" i="1"/>
  <c r="AK257" i="1"/>
  <c r="AK253" i="1"/>
  <c r="AK249" i="1"/>
  <c r="AK245" i="1"/>
  <c r="AK241" i="1"/>
  <c r="AK237" i="1"/>
  <c r="AK233" i="1"/>
  <c r="AK229" i="1"/>
  <c r="AK223" i="1"/>
  <c r="AK219" i="1"/>
  <c r="AK209" i="1"/>
  <c r="AK205" i="1"/>
  <c r="AK195" i="1"/>
  <c r="AK191" i="1"/>
  <c r="AK172" i="1"/>
  <c r="AK145" i="1"/>
  <c r="AK141" i="1"/>
  <c r="AK137" i="1"/>
  <c r="AK133" i="1"/>
  <c r="AK129" i="1"/>
  <c r="AK125" i="1"/>
  <c r="AK121" i="1"/>
  <c r="AK117" i="1"/>
  <c r="AK113" i="1"/>
  <c r="AK109" i="1"/>
  <c r="AK100" i="1"/>
  <c r="AK96" i="1"/>
  <c r="AK86" i="1"/>
  <c r="AK82" i="1"/>
  <c r="AK76" i="1"/>
  <c r="AK72" i="1"/>
  <c r="AK68" i="1"/>
  <c r="AK64" i="1"/>
  <c r="AK40" i="1"/>
  <c r="AK18" i="1"/>
  <c r="AK14" i="1"/>
  <c r="AK264" i="1"/>
  <c r="AK260" i="1"/>
  <c r="AK256" i="1"/>
  <c r="AK252" i="1"/>
  <c r="AK248" i="1"/>
  <c r="AK244" i="1"/>
  <c r="AK240" i="1"/>
  <c r="AK236" i="1"/>
  <c r="AK232" i="1"/>
  <c r="AK225" i="1"/>
  <c r="AK222" i="1"/>
  <c r="AK218" i="1"/>
  <c r="AK212" i="1"/>
  <c r="AK208" i="1"/>
  <c r="AK204" i="1"/>
  <c r="AK194" i="1"/>
  <c r="AK187" i="1"/>
  <c r="AK171" i="1"/>
  <c r="AK144" i="1"/>
  <c r="AK140" i="1"/>
  <c r="AK136" i="1"/>
  <c r="AK132" i="1"/>
  <c r="AK128" i="1"/>
  <c r="AK124" i="1"/>
  <c r="AK120" i="1"/>
  <c r="AK116" i="1"/>
  <c r="AK112" i="1"/>
  <c r="AK108" i="1"/>
  <c r="AK103" i="1"/>
  <c r="AK99" i="1"/>
  <c r="AK95" i="1"/>
  <c r="AK89" i="1"/>
  <c r="AK85" i="1"/>
  <c r="AK51" i="1"/>
  <c r="AK26" i="1"/>
  <c r="AJ23" i="1"/>
  <c r="AK262" i="1"/>
  <c r="AK246" i="1"/>
  <c r="AK230" i="1"/>
  <c r="AK213" i="1"/>
  <c r="AK202" i="1"/>
  <c r="AK138" i="1"/>
  <c r="AK122" i="1"/>
  <c r="AK104" i="1"/>
  <c r="AK90" i="1"/>
  <c r="AK81" i="1"/>
  <c r="AK71" i="1"/>
  <c r="AK48" i="1"/>
  <c r="AK43" i="1"/>
  <c r="AK16" i="1"/>
  <c r="AK258" i="1"/>
  <c r="AK242" i="1"/>
  <c r="AK173" i="1"/>
  <c r="AK134" i="1"/>
  <c r="AK118" i="1"/>
  <c r="AK69" i="1"/>
  <c r="AK52" i="1"/>
  <c r="AK41" i="1"/>
  <c r="AK20" i="1"/>
  <c r="AK15" i="1"/>
  <c r="AK254" i="1"/>
  <c r="AK238" i="1"/>
  <c r="AK224" i="1"/>
  <c r="AK210" i="1"/>
  <c r="AK196" i="1"/>
  <c r="AK130" i="1"/>
  <c r="AK114" i="1"/>
  <c r="AK101" i="1"/>
  <c r="AK87" i="1"/>
  <c r="AK75" i="1"/>
  <c r="AK67" i="1"/>
  <c r="AK39" i="1"/>
  <c r="AK19" i="1"/>
  <c r="AK13" i="1"/>
  <c r="AK250" i="1"/>
  <c r="AK234" i="1"/>
  <c r="AK220" i="1"/>
  <c r="AK206" i="1"/>
  <c r="AK192" i="1"/>
  <c r="AK142" i="1"/>
  <c r="AK126" i="1"/>
  <c r="AK110" i="1"/>
  <c r="AK97" i="1"/>
  <c r="AK83" i="1"/>
  <c r="AK73" i="1"/>
  <c r="AK65" i="1"/>
  <c r="AK44" i="1"/>
  <c r="AK38" i="1"/>
  <c r="AK17" i="1"/>
  <c r="AJ34" i="1"/>
  <c r="AK266" i="1"/>
  <c r="AC28" i="1" l="1"/>
  <c r="AB34" i="1"/>
  <c r="AC39" i="1"/>
  <c r="AB44" i="1"/>
  <c r="AC44" i="1" s="1"/>
  <c r="AK34" i="1"/>
  <c r="AJ309" i="1"/>
  <c r="AJ36" i="1"/>
  <c r="AK23" i="1"/>
  <c r="AB36" i="1" l="1"/>
  <c r="AC34" i="1"/>
  <c r="AJ46" i="1"/>
  <c r="AK36" i="1"/>
  <c r="AB46" i="1" l="1"/>
  <c r="AC36" i="1"/>
  <c r="AJ54" i="1"/>
  <c r="AK54" i="1" s="1"/>
  <c r="AK46" i="1"/>
  <c r="AP265" i="1"/>
  <c r="AP264" i="1"/>
  <c r="AP263" i="1"/>
  <c r="AP229" i="1"/>
  <c r="AH294" i="1"/>
  <c r="AI294" i="1" s="1"/>
  <c r="AH293" i="1"/>
  <c r="AI293" i="1" s="1"/>
  <c r="AH292" i="1"/>
  <c r="AI292" i="1" s="1"/>
  <c r="AH291" i="1"/>
  <c r="AI291" i="1" s="1"/>
  <c r="AH290" i="1"/>
  <c r="AI290" i="1" s="1"/>
  <c r="AH289" i="1"/>
  <c r="AI289" i="1" s="1"/>
  <c r="AH288" i="1"/>
  <c r="AI288" i="1" s="1"/>
  <c r="AH287" i="1"/>
  <c r="AI287" i="1" s="1"/>
  <c r="AH286" i="1"/>
  <c r="AI286" i="1" s="1"/>
  <c r="AH285" i="1"/>
  <c r="AI285" i="1" s="1"/>
  <c r="AH284" i="1"/>
  <c r="AI284" i="1" s="1"/>
  <c r="AH280" i="1"/>
  <c r="AI280" i="1" s="1"/>
  <c r="AH279" i="1"/>
  <c r="AI279" i="1" s="1"/>
  <c r="AH278" i="1"/>
  <c r="AI278" i="1" s="1"/>
  <c r="AH277" i="1"/>
  <c r="AH276" i="1"/>
  <c r="AI276" i="1" s="1"/>
  <c r="AH275" i="1"/>
  <c r="AI275" i="1" s="1"/>
  <c r="AH274" i="1"/>
  <c r="AI274" i="1" s="1"/>
  <c r="AH273" i="1"/>
  <c r="AI273" i="1" s="1"/>
  <c r="AH272" i="1"/>
  <c r="AI272" i="1" s="1"/>
  <c r="AH271" i="1"/>
  <c r="AH265" i="1"/>
  <c r="AI265" i="1" s="1"/>
  <c r="AH264" i="1"/>
  <c r="AI264" i="1" s="1"/>
  <c r="AH263" i="1"/>
  <c r="AI263" i="1" s="1"/>
  <c r="AH262" i="1"/>
  <c r="AI262" i="1" s="1"/>
  <c r="AH261" i="1"/>
  <c r="AI261" i="1" s="1"/>
  <c r="AH260" i="1"/>
  <c r="AI260" i="1" s="1"/>
  <c r="AH259" i="1"/>
  <c r="AI259" i="1" s="1"/>
  <c r="AH258" i="1"/>
  <c r="AI258" i="1" s="1"/>
  <c r="AH257" i="1"/>
  <c r="AI257" i="1" s="1"/>
  <c r="AH256" i="1"/>
  <c r="AI256" i="1" s="1"/>
  <c r="AH255" i="1"/>
  <c r="AI255" i="1" s="1"/>
  <c r="AH254" i="1"/>
  <c r="AI254" i="1" s="1"/>
  <c r="AH253" i="1"/>
  <c r="AI253" i="1" s="1"/>
  <c r="AH252" i="1"/>
  <c r="AI252" i="1" s="1"/>
  <c r="AH251" i="1"/>
  <c r="AI251" i="1" s="1"/>
  <c r="AH250" i="1"/>
  <c r="AI250" i="1" s="1"/>
  <c r="AH249" i="1"/>
  <c r="AI249" i="1" s="1"/>
  <c r="AH248" i="1"/>
  <c r="AI248" i="1" s="1"/>
  <c r="AH247" i="1"/>
  <c r="AI247" i="1" s="1"/>
  <c r="AH246" i="1"/>
  <c r="AI246" i="1" s="1"/>
  <c r="AH245" i="1"/>
  <c r="AI245" i="1" s="1"/>
  <c r="AH244" i="1"/>
  <c r="AI244" i="1" s="1"/>
  <c r="AH243" i="1"/>
  <c r="AI243" i="1" s="1"/>
  <c r="AH242" i="1"/>
  <c r="AI242" i="1" s="1"/>
  <c r="AH241" i="1"/>
  <c r="AI241" i="1" s="1"/>
  <c r="AH240" i="1"/>
  <c r="AI240" i="1" s="1"/>
  <c r="AH239" i="1"/>
  <c r="AI239" i="1" s="1"/>
  <c r="AH238" i="1"/>
  <c r="AI238" i="1" s="1"/>
  <c r="AH237" i="1"/>
  <c r="AI237" i="1" s="1"/>
  <c r="AH236" i="1"/>
  <c r="AI236" i="1" s="1"/>
  <c r="AH235" i="1"/>
  <c r="AI235" i="1" s="1"/>
  <c r="AH234" i="1"/>
  <c r="AI234" i="1" s="1"/>
  <c r="AH233" i="1"/>
  <c r="AI233" i="1" s="1"/>
  <c r="AH232" i="1"/>
  <c r="AI232" i="1" s="1"/>
  <c r="AH231" i="1"/>
  <c r="AI231" i="1" s="1"/>
  <c r="AH230" i="1"/>
  <c r="AI230" i="1" s="1"/>
  <c r="AH229" i="1"/>
  <c r="AI229" i="1" s="1"/>
  <c r="AH224" i="1"/>
  <c r="AI224" i="1" s="1"/>
  <c r="AH223" i="1"/>
  <c r="AI223" i="1" s="1"/>
  <c r="AH222" i="1"/>
  <c r="AI222" i="1" s="1"/>
  <c r="AH221" i="1"/>
  <c r="AI221" i="1" s="1"/>
  <c r="AH220" i="1"/>
  <c r="AI220" i="1" s="1"/>
  <c r="AH219" i="1"/>
  <c r="AI219" i="1" s="1"/>
  <c r="AH218" i="1"/>
  <c r="AI218" i="1" s="1"/>
  <c r="AH217" i="1"/>
  <c r="AI217" i="1" s="1"/>
  <c r="AH212" i="1"/>
  <c r="AI212" i="1" s="1"/>
  <c r="AH211" i="1"/>
  <c r="AI211" i="1" s="1"/>
  <c r="AH210" i="1"/>
  <c r="AI210" i="1" s="1"/>
  <c r="AH209" i="1"/>
  <c r="AI209" i="1" s="1"/>
  <c r="AH208" i="1"/>
  <c r="AI208" i="1" s="1"/>
  <c r="AH207" i="1"/>
  <c r="AI207" i="1" s="1"/>
  <c r="AH206" i="1"/>
  <c r="AI206" i="1" s="1"/>
  <c r="AH205" i="1"/>
  <c r="AI205" i="1" s="1"/>
  <c r="AH204" i="1"/>
  <c r="AI204" i="1" s="1"/>
  <c r="AH203" i="1"/>
  <c r="AI203" i="1" s="1"/>
  <c r="AH202" i="1"/>
  <c r="AI202" i="1" s="1"/>
  <c r="AH197" i="1"/>
  <c r="AI197" i="1" s="1"/>
  <c r="AH196" i="1"/>
  <c r="AI196" i="1" s="1"/>
  <c r="AH195" i="1"/>
  <c r="AI195" i="1" s="1"/>
  <c r="AH194" i="1"/>
  <c r="AI194" i="1" s="1"/>
  <c r="AH193" i="1"/>
  <c r="AI193" i="1" s="1"/>
  <c r="AH192" i="1"/>
  <c r="AI192" i="1" s="1"/>
  <c r="AH191" i="1"/>
  <c r="AI191" i="1" s="1"/>
  <c r="AH173" i="1"/>
  <c r="AI173" i="1" s="1"/>
  <c r="AH172" i="1"/>
  <c r="AI172" i="1" s="1"/>
  <c r="AH171" i="1"/>
  <c r="AI171" i="1" s="1"/>
  <c r="AH145" i="1"/>
  <c r="AI145" i="1" s="1"/>
  <c r="AH144" i="1"/>
  <c r="AI144" i="1" s="1"/>
  <c r="AH143" i="1"/>
  <c r="AI143" i="1" s="1"/>
  <c r="AH142" i="1"/>
  <c r="AI142" i="1" s="1"/>
  <c r="AH141" i="1"/>
  <c r="AI141" i="1" s="1"/>
  <c r="AH140" i="1"/>
  <c r="AI140" i="1" s="1"/>
  <c r="AH139" i="1"/>
  <c r="AI139" i="1" s="1"/>
  <c r="AH138" i="1"/>
  <c r="AI138" i="1" s="1"/>
  <c r="AH137" i="1"/>
  <c r="AI137" i="1" s="1"/>
  <c r="AH136" i="1"/>
  <c r="AI136" i="1" s="1"/>
  <c r="AH135" i="1"/>
  <c r="AI135" i="1" s="1"/>
  <c r="AH134" i="1"/>
  <c r="AI134" i="1" s="1"/>
  <c r="AH133" i="1"/>
  <c r="AI133" i="1" s="1"/>
  <c r="AH132" i="1"/>
  <c r="AI132" i="1" s="1"/>
  <c r="AH131" i="1"/>
  <c r="AI131" i="1" s="1"/>
  <c r="AH130" i="1"/>
  <c r="AI130" i="1" s="1"/>
  <c r="AH129" i="1"/>
  <c r="AI129" i="1" s="1"/>
  <c r="AH128" i="1"/>
  <c r="AI128" i="1" s="1"/>
  <c r="AH127" i="1"/>
  <c r="AI127" i="1" s="1"/>
  <c r="AH126" i="1"/>
  <c r="AI126" i="1" s="1"/>
  <c r="AH125" i="1"/>
  <c r="AI125" i="1" s="1"/>
  <c r="AH124" i="1"/>
  <c r="AI124" i="1" s="1"/>
  <c r="AH123" i="1"/>
  <c r="AI123" i="1" s="1"/>
  <c r="AH122" i="1"/>
  <c r="AI122" i="1" s="1"/>
  <c r="AH121" i="1"/>
  <c r="AI121" i="1" s="1"/>
  <c r="AH120" i="1"/>
  <c r="AI120" i="1" s="1"/>
  <c r="AH119" i="1"/>
  <c r="AI119" i="1" s="1"/>
  <c r="AH118" i="1"/>
  <c r="AI118" i="1" s="1"/>
  <c r="AH117" i="1"/>
  <c r="AI117" i="1" s="1"/>
  <c r="AH116" i="1"/>
  <c r="AI116" i="1" s="1"/>
  <c r="AH115" i="1"/>
  <c r="AI115" i="1" s="1"/>
  <c r="AH114" i="1"/>
  <c r="AI114" i="1" s="1"/>
  <c r="AH113" i="1"/>
  <c r="AI113" i="1" s="1"/>
  <c r="AH112" i="1"/>
  <c r="AI112" i="1" s="1"/>
  <c r="AH111" i="1"/>
  <c r="AI111" i="1" s="1"/>
  <c r="AH110" i="1"/>
  <c r="AI110" i="1" s="1"/>
  <c r="AH109" i="1"/>
  <c r="AI109" i="1" s="1"/>
  <c r="AH108" i="1"/>
  <c r="AI108" i="1" s="1"/>
  <c r="AH107" i="1"/>
  <c r="AI107" i="1" s="1"/>
  <c r="AH103" i="1"/>
  <c r="AI103" i="1" s="1"/>
  <c r="AH102" i="1"/>
  <c r="AI102" i="1" s="1"/>
  <c r="AH101" i="1"/>
  <c r="AI101" i="1" s="1"/>
  <c r="AH100" i="1"/>
  <c r="AH99" i="1"/>
  <c r="AI99" i="1" s="1"/>
  <c r="AH98" i="1"/>
  <c r="AI98" i="1" s="1"/>
  <c r="AH97" i="1"/>
  <c r="AI97" i="1" s="1"/>
  <c r="AH96" i="1"/>
  <c r="AI96" i="1" s="1"/>
  <c r="AH95" i="1"/>
  <c r="AI95" i="1" s="1"/>
  <c r="AH94" i="1"/>
  <c r="AI94" i="1" s="1"/>
  <c r="AH89" i="1"/>
  <c r="AI89" i="1" s="1"/>
  <c r="AH88" i="1"/>
  <c r="AI88" i="1" s="1"/>
  <c r="AH87" i="1"/>
  <c r="AI87" i="1" s="1"/>
  <c r="AH86" i="1"/>
  <c r="AI86" i="1" s="1"/>
  <c r="AH85" i="1"/>
  <c r="AI85" i="1" s="1"/>
  <c r="AH84" i="1"/>
  <c r="AI84" i="1" s="1"/>
  <c r="AH83" i="1"/>
  <c r="AI83" i="1" s="1"/>
  <c r="AH82" i="1"/>
  <c r="AI82" i="1" s="1"/>
  <c r="AH81" i="1"/>
  <c r="AI81" i="1" s="1"/>
  <c r="AH76" i="1"/>
  <c r="AI76" i="1" s="1"/>
  <c r="AH75" i="1"/>
  <c r="AI75" i="1" s="1"/>
  <c r="AH74" i="1"/>
  <c r="AI74" i="1" s="1"/>
  <c r="AH73" i="1"/>
  <c r="AI73" i="1" s="1"/>
  <c r="AH72" i="1"/>
  <c r="AI72" i="1" s="1"/>
  <c r="AH71" i="1"/>
  <c r="AI71" i="1" s="1"/>
  <c r="AH70" i="1"/>
  <c r="AI70" i="1" s="1"/>
  <c r="AH69" i="1"/>
  <c r="AI69" i="1" s="1"/>
  <c r="AH68" i="1"/>
  <c r="AI68" i="1" s="1"/>
  <c r="AH67" i="1"/>
  <c r="AI67" i="1" s="1"/>
  <c r="AH66" i="1"/>
  <c r="AH65" i="1"/>
  <c r="AI65" i="1" s="1"/>
  <c r="AH64" i="1"/>
  <c r="AI64" i="1" s="1"/>
  <c r="AH51" i="1"/>
  <c r="AH50" i="1"/>
  <c r="AI50" i="1" s="1"/>
  <c r="AH48" i="1"/>
  <c r="AI48" i="1" s="1"/>
  <c r="AH43" i="1"/>
  <c r="AI43" i="1" s="1"/>
  <c r="AH42" i="1"/>
  <c r="AI42" i="1" s="1"/>
  <c r="AH41" i="1"/>
  <c r="AI41" i="1" s="1"/>
  <c r="AH40" i="1"/>
  <c r="AI40" i="1" s="1"/>
  <c r="AH38" i="1"/>
  <c r="AI38" i="1" s="1"/>
  <c r="AH20" i="1"/>
  <c r="AI20" i="1" s="1"/>
  <c r="AH19" i="1"/>
  <c r="AI19" i="1" s="1"/>
  <c r="AH18" i="1"/>
  <c r="AI18" i="1" s="1"/>
  <c r="AH17" i="1"/>
  <c r="AI17" i="1" s="1"/>
  <c r="AH16" i="1"/>
  <c r="AI16" i="1" s="1"/>
  <c r="AH15" i="1"/>
  <c r="AI15" i="1" s="1"/>
  <c r="AH14" i="1"/>
  <c r="AI14" i="1" s="1"/>
  <c r="AH13" i="1"/>
  <c r="AI13" i="1" s="1"/>
  <c r="AH10" i="1"/>
  <c r="AI10" i="1" s="1"/>
  <c r="AH9" i="1"/>
  <c r="AI9" i="1" s="1"/>
  <c r="AH7" i="1"/>
  <c r="AI7" i="1" s="1"/>
  <c r="AH6" i="1"/>
  <c r="AI6" i="1" s="1"/>
  <c r="AH5" i="1"/>
  <c r="AI5" i="1" s="1"/>
  <c r="AI100" i="1"/>
  <c r="AI51" i="1"/>
  <c r="AF305" i="1"/>
  <c r="AF304" i="1"/>
  <c r="AF303" i="1"/>
  <c r="AF302" i="1"/>
  <c r="AF295" i="1"/>
  <c r="AF281" i="1"/>
  <c r="AF269" i="1"/>
  <c r="AF301" i="1" s="1"/>
  <c r="AF266" i="1"/>
  <c r="AF33" i="1" s="1"/>
  <c r="AF225" i="1"/>
  <c r="AF32" i="1" s="1"/>
  <c r="AF213" i="1"/>
  <c r="AF31" i="1" s="1"/>
  <c r="AF198" i="1"/>
  <c r="AF30" i="1" s="1"/>
  <c r="AF187" i="1"/>
  <c r="AF29" i="1" s="1"/>
  <c r="AF146" i="1"/>
  <c r="AF28" i="1" s="1"/>
  <c r="AF104" i="1"/>
  <c r="AF27" i="1" s="1"/>
  <c r="AF90" i="1"/>
  <c r="AF26" i="1" s="1"/>
  <c r="AF77" i="1"/>
  <c r="AF25" i="1" s="1"/>
  <c r="AF52" i="1"/>
  <c r="AF21" i="1"/>
  <c r="AF8" i="1"/>
  <c r="AG5" i="1" s="1"/>
  <c r="AP65" i="1"/>
  <c r="AP10" i="1"/>
  <c r="AB54" i="1" l="1"/>
  <c r="AC54" i="1" s="1"/>
  <c r="AC46" i="1"/>
  <c r="AF297" i="1"/>
  <c r="AF44" i="1" s="1"/>
  <c r="AH52" i="1"/>
  <c r="AI52" i="1" s="1"/>
  <c r="AH295" i="1"/>
  <c r="AI295" i="1" s="1"/>
  <c r="AF34" i="1"/>
  <c r="AF306" i="1"/>
  <c r="AF307" i="1" s="1"/>
  <c r="AH77" i="1"/>
  <c r="AI77" i="1" s="1"/>
  <c r="AI66" i="1"/>
  <c r="AH21" i="1"/>
  <c r="AI21" i="1" s="1"/>
  <c r="AH8" i="1"/>
  <c r="AH11" i="1" s="1"/>
  <c r="AH90" i="1"/>
  <c r="AH104" i="1"/>
  <c r="AH146" i="1"/>
  <c r="AH213" i="1"/>
  <c r="AH187" i="1"/>
  <c r="AH198" i="1"/>
  <c r="AH225" i="1"/>
  <c r="AH266" i="1"/>
  <c r="AI271" i="1"/>
  <c r="AH281" i="1"/>
  <c r="AG9" i="1"/>
  <c r="AG8" i="1" s="1"/>
  <c r="AG11" i="1" s="1"/>
  <c r="AG6" i="1"/>
  <c r="AG10" i="1"/>
  <c r="AG7" i="1"/>
  <c r="AF11" i="1"/>
  <c r="AP287" i="1"/>
  <c r="AP290" i="1"/>
  <c r="AP258" i="1"/>
  <c r="AP253" i="1"/>
  <c r="AP203" i="1"/>
  <c r="AP115" i="1"/>
  <c r="AP14" i="1"/>
  <c r="AP18" i="1"/>
  <c r="AP17" i="1"/>
  <c r="AP16" i="1"/>
  <c r="AF309" i="1" l="1"/>
  <c r="AI8" i="1"/>
  <c r="AI225" i="1"/>
  <c r="AI146" i="1"/>
  <c r="AH297" i="1"/>
  <c r="AI297" i="1" s="1"/>
  <c r="AI281" i="1"/>
  <c r="AI198" i="1"/>
  <c r="AI104" i="1"/>
  <c r="AI187" i="1"/>
  <c r="AI90" i="1"/>
  <c r="AH23" i="1"/>
  <c r="AI11" i="1"/>
  <c r="AI266" i="1"/>
  <c r="AI213" i="1"/>
  <c r="AG263" i="1"/>
  <c r="AG259" i="1"/>
  <c r="AG255" i="1"/>
  <c r="AG251" i="1"/>
  <c r="AG247" i="1"/>
  <c r="AG243" i="1"/>
  <c r="AG239" i="1"/>
  <c r="AG235" i="1"/>
  <c r="AG231" i="1"/>
  <c r="AG221" i="1"/>
  <c r="AG217" i="1"/>
  <c r="AG211" i="1"/>
  <c r="AG207" i="1"/>
  <c r="AG203" i="1"/>
  <c r="AG197" i="1"/>
  <c r="AG193" i="1"/>
  <c r="AG143" i="1"/>
  <c r="AG139" i="1"/>
  <c r="AG135" i="1"/>
  <c r="AG131" i="1"/>
  <c r="AG127" i="1"/>
  <c r="AG123" i="1"/>
  <c r="AG119" i="1"/>
  <c r="AG115" i="1"/>
  <c r="AG111" i="1"/>
  <c r="AG107" i="1"/>
  <c r="AG102" i="1"/>
  <c r="AG98" i="1"/>
  <c r="AG94" i="1"/>
  <c r="AG88" i="1"/>
  <c r="AG84" i="1"/>
  <c r="AG74" i="1"/>
  <c r="AG70" i="1"/>
  <c r="AG66" i="1"/>
  <c r="AG50" i="1"/>
  <c r="AG42" i="1"/>
  <c r="AG20" i="1"/>
  <c r="AG16" i="1"/>
  <c r="AG262" i="1"/>
  <c r="AG258" i="1"/>
  <c r="AG254" i="1"/>
  <c r="AG250" i="1"/>
  <c r="AG246" i="1"/>
  <c r="AG242" i="1"/>
  <c r="AG238" i="1"/>
  <c r="AG234" i="1"/>
  <c r="AG230" i="1"/>
  <c r="AG224" i="1"/>
  <c r="AG220" i="1"/>
  <c r="AG213" i="1"/>
  <c r="AG210" i="1"/>
  <c r="AG206" i="1"/>
  <c r="AG202" i="1"/>
  <c r="AG196" i="1"/>
  <c r="AG192" i="1"/>
  <c r="AG173" i="1"/>
  <c r="AG142" i="1"/>
  <c r="AG138" i="1"/>
  <c r="AG134" i="1"/>
  <c r="AG130" i="1"/>
  <c r="AG126" i="1"/>
  <c r="AG122" i="1"/>
  <c r="AG118" i="1"/>
  <c r="AG114" i="1"/>
  <c r="AG110" i="1"/>
  <c r="AG104" i="1"/>
  <c r="AG101" i="1"/>
  <c r="AG265" i="1"/>
  <c r="AG261" i="1"/>
  <c r="AG257" i="1"/>
  <c r="AG253" i="1"/>
  <c r="AG249" i="1"/>
  <c r="AG245" i="1"/>
  <c r="AG241" i="1"/>
  <c r="AG237" i="1"/>
  <c r="AG233" i="1"/>
  <c r="AG229" i="1"/>
  <c r="AG223" i="1"/>
  <c r="AG219" i="1"/>
  <c r="AG209" i="1"/>
  <c r="AG205" i="1"/>
  <c r="AG195" i="1"/>
  <c r="AG191" i="1"/>
  <c r="AG172" i="1"/>
  <c r="AG145" i="1"/>
  <c r="AG141" i="1"/>
  <c r="AG137" i="1"/>
  <c r="AG133" i="1"/>
  <c r="AG129" i="1"/>
  <c r="AG125" i="1"/>
  <c r="AG121" i="1"/>
  <c r="AG117" i="1"/>
  <c r="AG113" i="1"/>
  <c r="AG109" i="1"/>
  <c r="AG100" i="1"/>
  <c r="AG96" i="1"/>
  <c r="AG86" i="1"/>
  <c r="AG82" i="1"/>
  <c r="AG76" i="1"/>
  <c r="AG72" i="1"/>
  <c r="AG68" i="1"/>
  <c r="AG64" i="1"/>
  <c r="AG252" i="1"/>
  <c r="AG236" i="1"/>
  <c r="AG222" i="1"/>
  <c r="AG208" i="1"/>
  <c r="AG187" i="1"/>
  <c r="AG144" i="1"/>
  <c r="AG128" i="1"/>
  <c r="AG112" i="1"/>
  <c r="AG99" i="1"/>
  <c r="AG83" i="1"/>
  <c r="AG73" i="1"/>
  <c r="AG65" i="1"/>
  <c r="AG51" i="1"/>
  <c r="AG17" i="1"/>
  <c r="AG264" i="1"/>
  <c r="AG248" i="1"/>
  <c r="AG232" i="1"/>
  <c r="AG218" i="1"/>
  <c r="AG204" i="1"/>
  <c r="AG140" i="1"/>
  <c r="AG124" i="1"/>
  <c r="AG108" i="1"/>
  <c r="AG97" i="1"/>
  <c r="AG89" i="1"/>
  <c r="AG81" i="1"/>
  <c r="AG71" i="1"/>
  <c r="AG48" i="1"/>
  <c r="AG43" i="1"/>
  <c r="AG38" i="1"/>
  <c r="AG15" i="1"/>
  <c r="AG260" i="1"/>
  <c r="AG244" i="1"/>
  <c r="AG225" i="1"/>
  <c r="AG171" i="1"/>
  <c r="AG120" i="1"/>
  <c r="AG95" i="1"/>
  <c r="AG87" i="1"/>
  <c r="AG69" i="1"/>
  <c r="AG52" i="1"/>
  <c r="AG41" i="1"/>
  <c r="AG19" i="1"/>
  <c r="AF310" i="1"/>
  <c r="AG240" i="1"/>
  <c r="AG194" i="1"/>
  <c r="AG116" i="1"/>
  <c r="AG90" i="1"/>
  <c r="AG75" i="1"/>
  <c r="AG29" i="1"/>
  <c r="AF23" i="1"/>
  <c r="AG18" i="1"/>
  <c r="AG13" i="1"/>
  <c r="AG136" i="1"/>
  <c r="AG14" i="1"/>
  <c r="AG256" i="1"/>
  <c r="AG212" i="1"/>
  <c r="AG132" i="1"/>
  <c r="AG103" i="1"/>
  <c r="AG85" i="1"/>
  <c r="AG67" i="1"/>
  <c r="AG40" i="1"/>
  <c r="AG77" i="1"/>
  <c r="AG32" i="1"/>
  <c r="AG21" i="1"/>
  <c r="AG266" i="1"/>
  <c r="AG39" i="1"/>
  <c r="AG28" i="1"/>
  <c r="AG33" i="1"/>
  <c r="AG27" i="1"/>
  <c r="AG26" i="1"/>
  <c r="AG25" i="1"/>
  <c r="AG198" i="1"/>
  <c r="AG146" i="1"/>
  <c r="AG34" i="1"/>
  <c r="AG30" i="1"/>
  <c r="AG44" i="1"/>
  <c r="AG31" i="1"/>
  <c r="AP207" i="1"/>
  <c r="AQ207" i="1" s="1"/>
  <c r="AD281" i="1"/>
  <c r="AV16" i="1"/>
  <c r="AW16" i="1" s="1"/>
  <c r="AP234" i="1"/>
  <c r="AP218" i="1"/>
  <c r="AP233" i="1"/>
  <c r="AP232" i="1"/>
  <c r="AP231" i="1"/>
  <c r="AP280" i="1"/>
  <c r="AP279" i="1"/>
  <c r="AP278" i="1"/>
  <c r="AP277" i="1"/>
  <c r="AP276" i="1"/>
  <c r="AP275" i="1"/>
  <c r="AP274" i="1"/>
  <c r="AQ274" i="1" s="1"/>
  <c r="AP273" i="1"/>
  <c r="AP272" i="1"/>
  <c r="AP271" i="1"/>
  <c r="AP246" i="1"/>
  <c r="AP244" i="1"/>
  <c r="AP208" i="1"/>
  <c r="AP209" i="1"/>
  <c r="AR213" i="1"/>
  <c r="AD287" i="1"/>
  <c r="AP240" i="1"/>
  <c r="AP194" i="1"/>
  <c r="AR295" i="1"/>
  <c r="AV207" i="1"/>
  <c r="AW207" i="1"/>
  <c r="AT43" i="1"/>
  <c r="X43" i="1"/>
  <c r="V43" i="1"/>
  <c r="T43" i="1"/>
  <c r="R43" i="1"/>
  <c r="P43" i="1"/>
  <c r="N43" i="1"/>
  <c r="L43" i="1"/>
  <c r="J43" i="1"/>
  <c r="H43" i="1"/>
  <c r="F43" i="1"/>
  <c r="D43" i="1"/>
  <c r="AN305" i="1"/>
  <c r="AN304" i="1"/>
  <c r="AN303" i="1"/>
  <c r="AN302" i="1"/>
  <c r="AN295" i="1"/>
  <c r="AN281" i="1"/>
  <c r="AN269" i="1"/>
  <c r="AN301" i="1" s="1"/>
  <c r="AN266" i="1"/>
  <c r="AN33" i="1" s="1"/>
  <c r="AN225" i="1"/>
  <c r="AN32" i="1" s="1"/>
  <c r="AN213" i="1"/>
  <c r="AN31" i="1" s="1"/>
  <c r="AN198" i="1"/>
  <c r="AN30" i="1" s="1"/>
  <c r="AN187" i="1"/>
  <c r="AN146" i="1"/>
  <c r="AN28" i="1" s="1"/>
  <c r="AN104" i="1"/>
  <c r="AN27" i="1" s="1"/>
  <c r="AN90" i="1"/>
  <c r="AN26" i="1" s="1"/>
  <c r="AN77" i="1"/>
  <c r="AN52" i="1"/>
  <c r="AN48" i="1"/>
  <c r="AN29" i="1"/>
  <c r="AN25" i="1"/>
  <c r="AN21" i="1"/>
  <c r="AN8" i="1"/>
  <c r="AN11" i="1" s="1"/>
  <c r="AV17" i="1"/>
  <c r="AW17" i="1" s="1"/>
  <c r="AI23" i="1" l="1"/>
  <c r="AG23" i="1"/>
  <c r="AF36" i="1"/>
  <c r="AN34" i="1"/>
  <c r="AN306" i="1"/>
  <c r="AO6" i="1"/>
  <c r="AN297" i="1"/>
  <c r="AN39" i="1" s="1"/>
  <c r="AN44" i="1" s="1"/>
  <c r="AO44" i="1" s="1"/>
  <c r="AO34" i="1"/>
  <c r="AO27" i="1"/>
  <c r="AO29" i="1"/>
  <c r="AO31" i="1"/>
  <c r="AO33" i="1"/>
  <c r="AO146" i="1"/>
  <c r="AO198" i="1"/>
  <c r="AO265" i="1"/>
  <c r="AO263" i="1"/>
  <c r="AO261" i="1"/>
  <c r="AO259" i="1"/>
  <c r="AO257" i="1"/>
  <c r="AO255" i="1"/>
  <c r="AO253" i="1"/>
  <c r="AO251" i="1"/>
  <c r="AO249" i="1"/>
  <c r="AO247" i="1"/>
  <c r="AO245" i="1"/>
  <c r="AO243" i="1"/>
  <c r="AO241" i="1"/>
  <c r="AO239" i="1"/>
  <c r="AO237" i="1"/>
  <c r="AO235" i="1"/>
  <c r="AO233" i="1"/>
  <c r="AO231" i="1"/>
  <c r="AO229" i="1"/>
  <c r="AO223" i="1"/>
  <c r="AO221" i="1"/>
  <c r="AO219" i="1"/>
  <c r="AO217" i="1"/>
  <c r="AO211" i="1"/>
  <c r="AO209" i="1"/>
  <c r="AO207" i="1"/>
  <c r="AO205" i="1"/>
  <c r="AO203" i="1"/>
  <c r="AO197" i="1"/>
  <c r="AO195" i="1"/>
  <c r="AO193" i="1"/>
  <c r="AO191" i="1"/>
  <c r="AO172" i="1"/>
  <c r="AO145" i="1"/>
  <c r="AO143" i="1"/>
  <c r="AO141" i="1"/>
  <c r="AO139" i="1"/>
  <c r="AO137" i="1"/>
  <c r="AO135" i="1"/>
  <c r="AO133" i="1"/>
  <c r="AO131" i="1"/>
  <c r="AO129" i="1"/>
  <c r="AO127" i="1"/>
  <c r="AO125" i="1"/>
  <c r="AO123" i="1"/>
  <c r="AO121" i="1"/>
  <c r="AO119" i="1"/>
  <c r="AO117" i="1"/>
  <c r="AO115" i="1"/>
  <c r="AO113" i="1"/>
  <c r="AO111" i="1"/>
  <c r="AO109" i="1"/>
  <c r="AO107" i="1"/>
  <c r="AO102" i="1"/>
  <c r="AO100" i="1"/>
  <c r="AO98" i="1"/>
  <c r="AO96" i="1"/>
  <c r="AO94" i="1"/>
  <c r="AO88" i="1"/>
  <c r="AO86" i="1"/>
  <c r="AO84" i="1"/>
  <c r="AO82" i="1"/>
  <c r="AO76" i="1"/>
  <c r="AO74" i="1"/>
  <c r="AO72" i="1"/>
  <c r="AO70" i="1"/>
  <c r="AO68" i="1"/>
  <c r="AO66" i="1"/>
  <c r="AO64" i="1"/>
  <c r="AO50" i="1"/>
  <c r="AO43" i="1"/>
  <c r="AO38" i="1"/>
  <c r="AN23" i="1"/>
  <c r="AO19" i="1"/>
  <c r="AO17" i="1"/>
  <c r="AO15" i="1"/>
  <c r="AO13" i="1"/>
  <c r="AO264" i="1"/>
  <c r="AO262" i="1"/>
  <c r="AO260" i="1"/>
  <c r="AO258" i="1"/>
  <c r="AO256" i="1"/>
  <c r="AO254" i="1"/>
  <c r="AO252" i="1"/>
  <c r="AO250" i="1"/>
  <c r="AO248" i="1"/>
  <c r="AO246" i="1"/>
  <c r="AO244" i="1"/>
  <c r="AO242" i="1"/>
  <c r="AO240" i="1"/>
  <c r="AO238" i="1"/>
  <c r="AO236" i="1"/>
  <c r="AO234" i="1"/>
  <c r="AO232" i="1"/>
  <c r="AO230" i="1"/>
  <c r="AO225" i="1"/>
  <c r="AO224" i="1"/>
  <c r="AO222" i="1"/>
  <c r="AO220" i="1"/>
  <c r="AO218" i="1"/>
  <c r="AO213" i="1"/>
  <c r="AO212" i="1"/>
  <c r="AO210" i="1"/>
  <c r="AO208" i="1"/>
  <c r="AO206" i="1"/>
  <c r="AO204" i="1"/>
  <c r="AO202" i="1"/>
  <c r="AO196" i="1"/>
  <c r="AO194" i="1"/>
  <c r="AO192" i="1"/>
  <c r="AO173" i="1"/>
  <c r="AO171" i="1"/>
  <c r="AO144" i="1"/>
  <c r="AO142" i="1"/>
  <c r="AO140" i="1"/>
  <c r="AO138" i="1"/>
  <c r="AO136" i="1"/>
  <c r="AO134" i="1"/>
  <c r="AO132" i="1"/>
  <c r="AO130" i="1"/>
  <c r="AO128" i="1"/>
  <c r="AO126" i="1"/>
  <c r="AO124" i="1"/>
  <c r="AO122" i="1"/>
  <c r="AO120" i="1"/>
  <c r="AO118" i="1"/>
  <c r="AO116" i="1"/>
  <c r="AO114" i="1"/>
  <c r="AO112" i="1"/>
  <c r="AO110" i="1"/>
  <c r="AO108" i="1"/>
  <c r="AO104" i="1"/>
  <c r="AO103" i="1"/>
  <c r="AO101" i="1"/>
  <c r="AO99" i="1"/>
  <c r="AO97" i="1"/>
  <c r="AO95" i="1"/>
  <c r="AO90" i="1"/>
  <c r="AO89" i="1"/>
  <c r="AO87" i="1"/>
  <c r="AO85" i="1"/>
  <c r="AO83" i="1"/>
  <c r="AO81" i="1"/>
  <c r="AO75" i="1"/>
  <c r="AO73" i="1"/>
  <c r="AO71" i="1"/>
  <c r="AO69" i="1"/>
  <c r="AO67" i="1"/>
  <c r="AO65" i="1"/>
  <c r="AO52" i="1"/>
  <c r="AO51" i="1"/>
  <c r="AO48" i="1"/>
  <c r="AO42" i="1"/>
  <c r="AO41" i="1"/>
  <c r="AO40" i="1"/>
  <c r="AO20" i="1"/>
  <c r="AO18" i="1"/>
  <c r="AO16" i="1"/>
  <c r="AO14" i="1"/>
  <c r="AO39" i="1"/>
  <c r="AO21" i="1"/>
  <c r="AO26" i="1"/>
  <c r="AO28" i="1"/>
  <c r="AO30" i="1"/>
  <c r="AO32" i="1"/>
  <c r="AO77" i="1"/>
  <c r="AO187" i="1"/>
  <c r="AO266" i="1"/>
  <c r="AN307" i="1"/>
  <c r="AO5" i="1"/>
  <c r="AO7" i="1"/>
  <c r="AO10" i="1"/>
  <c r="AO25" i="1"/>
  <c r="AO9" i="1"/>
  <c r="AO8" i="1" s="1"/>
  <c r="AO11" i="1" s="1"/>
  <c r="AQ17" i="1"/>
  <c r="AQ16" i="1"/>
  <c r="AT243" i="1"/>
  <c r="H243" i="1"/>
  <c r="X243" i="1"/>
  <c r="V243" i="1"/>
  <c r="T243" i="1"/>
  <c r="R243" i="1"/>
  <c r="P243" i="1"/>
  <c r="N243" i="1"/>
  <c r="L243" i="1"/>
  <c r="J243" i="1"/>
  <c r="F243" i="1"/>
  <c r="D243" i="1"/>
  <c r="D301" i="1"/>
  <c r="F301" i="1"/>
  <c r="R305" i="1"/>
  <c r="R304" i="1"/>
  <c r="R303" i="1"/>
  <c r="P305" i="1"/>
  <c r="P304" i="1"/>
  <c r="P303" i="1"/>
  <c r="N305" i="1"/>
  <c r="N304" i="1"/>
  <c r="N303" i="1"/>
  <c r="AD302" i="1"/>
  <c r="AD303" i="1"/>
  <c r="AD304" i="1"/>
  <c r="AD305" i="1"/>
  <c r="AL302" i="1"/>
  <c r="AL303" i="1"/>
  <c r="AL304" i="1"/>
  <c r="AL305" i="1"/>
  <c r="AT305" i="1"/>
  <c r="AT304" i="1"/>
  <c r="AT303" i="1"/>
  <c r="AT302" i="1"/>
  <c r="AR305" i="1"/>
  <c r="AR304" i="1"/>
  <c r="AR303" i="1"/>
  <c r="AR302" i="1"/>
  <c r="AT295" i="1"/>
  <c r="AT274" i="1"/>
  <c r="AT281" i="1" s="1"/>
  <c r="AT269" i="1"/>
  <c r="AT301" i="1" s="1"/>
  <c r="AT261" i="1"/>
  <c r="AT248" i="1"/>
  <c r="AT231" i="1"/>
  <c r="AT221" i="1"/>
  <c r="AT225" i="1" s="1"/>
  <c r="AT213" i="1"/>
  <c r="AT31" i="1" s="1"/>
  <c r="AT198" i="1"/>
  <c r="AT187" i="1"/>
  <c r="AT29" i="1" s="1"/>
  <c r="AT138" i="1"/>
  <c r="AT137" i="1"/>
  <c r="AT132" i="1"/>
  <c r="AT111" i="1"/>
  <c r="AT99" i="1"/>
  <c r="AT96" i="1"/>
  <c r="AT104" i="1" s="1"/>
  <c r="AT83" i="1"/>
  <c r="AT90" i="1" s="1"/>
  <c r="AT73" i="1"/>
  <c r="AT77" i="1" s="1"/>
  <c r="AT52" i="1"/>
  <c r="AT48" i="1"/>
  <c r="AT38" i="1"/>
  <c r="AT30" i="1"/>
  <c r="AT19" i="1"/>
  <c r="AT18" i="1"/>
  <c r="AT15" i="1"/>
  <c r="AT14" i="1"/>
  <c r="AT13" i="1"/>
  <c r="AT9" i="1"/>
  <c r="AT6" i="1"/>
  <c r="AT5" i="1"/>
  <c r="AT8" i="1" s="1"/>
  <c r="AR281" i="1"/>
  <c r="AR297" i="1" s="1"/>
  <c r="AR39" i="1" s="1"/>
  <c r="AR269" i="1"/>
  <c r="AR301" i="1" s="1"/>
  <c r="AR266" i="1"/>
  <c r="AR225" i="1"/>
  <c r="AR31" i="1"/>
  <c r="AR198" i="1"/>
  <c r="AR30" i="1" s="1"/>
  <c r="AR187" i="1"/>
  <c r="AR29" i="1" s="1"/>
  <c r="AR146" i="1"/>
  <c r="AR104" i="1"/>
  <c r="AR90" i="1"/>
  <c r="AR52" i="1"/>
  <c r="AR8" i="1"/>
  <c r="X295" i="1"/>
  <c r="X274" i="1"/>
  <c r="X281" i="1" s="1"/>
  <c r="X297" i="1" s="1"/>
  <c r="X39" i="1" s="1"/>
  <c r="X269" i="1"/>
  <c r="X301" i="1" s="1"/>
  <c r="X265" i="1"/>
  <c r="X305" i="1" s="1"/>
  <c r="X264" i="1"/>
  <c r="X304" i="1" s="1"/>
  <c r="X263" i="1"/>
  <c r="X303" i="1" s="1"/>
  <c r="X229" i="1"/>
  <c r="X302" i="1" s="1"/>
  <c r="X225" i="1"/>
  <c r="X32" i="1" s="1"/>
  <c r="X213" i="1"/>
  <c r="X198" i="1"/>
  <c r="X187" i="1"/>
  <c r="X29" i="1" s="1"/>
  <c r="X146" i="1"/>
  <c r="X28" i="1" s="1"/>
  <c r="X104" i="1"/>
  <c r="X83" i="1"/>
  <c r="X90" i="1" s="1"/>
  <c r="X77" i="1"/>
  <c r="X25" i="1" s="1"/>
  <c r="X52" i="1"/>
  <c r="X48" i="1"/>
  <c r="X31" i="1"/>
  <c r="X30" i="1"/>
  <c r="X27" i="1"/>
  <c r="X19" i="1"/>
  <c r="X18" i="1"/>
  <c r="X15" i="1"/>
  <c r="X14" i="1"/>
  <c r="X13" i="1"/>
  <c r="X9" i="1"/>
  <c r="X6" i="1"/>
  <c r="X5" i="1"/>
  <c r="X2" i="1"/>
  <c r="T221" i="1"/>
  <c r="N306" i="1" l="1"/>
  <c r="AF46" i="1"/>
  <c r="AG36" i="1"/>
  <c r="AT146" i="1"/>
  <c r="AT28" i="1" s="1"/>
  <c r="AU28" i="1" s="1"/>
  <c r="R306" i="1"/>
  <c r="AD306" i="1"/>
  <c r="AD307" i="1" s="1"/>
  <c r="AN309" i="1"/>
  <c r="AN310" i="1"/>
  <c r="AN36" i="1"/>
  <c r="AO23" i="1"/>
  <c r="X8" i="1"/>
  <c r="X11" i="1" s="1"/>
  <c r="AR306" i="1"/>
  <c r="AR307" i="1" s="1"/>
  <c r="AT306" i="1"/>
  <c r="AL306" i="1"/>
  <c r="AL307" i="1" s="1"/>
  <c r="P306" i="1"/>
  <c r="X306" i="1"/>
  <c r="AT266" i="1"/>
  <c r="AT33" i="1" s="1"/>
  <c r="AT297" i="1"/>
  <c r="AT39" i="1" s="1"/>
  <c r="AT44" i="1"/>
  <c r="X307" i="1"/>
  <c r="AT307" i="1"/>
  <c r="X21" i="1"/>
  <c r="X266" i="1"/>
  <c r="X33" i="1" s="1"/>
  <c r="AR21" i="1"/>
  <c r="AR44" i="1"/>
  <c r="AT21" i="1"/>
  <c r="AT11" i="1"/>
  <c r="AU48" i="1" s="1"/>
  <c r="AU7" i="1"/>
  <c r="AU10" i="1"/>
  <c r="AU6" i="1"/>
  <c r="AU90" i="1"/>
  <c r="AT26" i="1"/>
  <c r="AT32" i="1"/>
  <c r="AU14" i="1"/>
  <c r="AU52" i="1"/>
  <c r="AU77" i="1"/>
  <c r="AT25" i="1"/>
  <c r="AT27" i="1"/>
  <c r="AU9" i="1"/>
  <c r="AU8" i="1" s="1"/>
  <c r="AU11" i="1" s="1"/>
  <c r="AU29" i="1"/>
  <c r="AU261" i="1"/>
  <c r="AU5" i="1"/>
  <c r="AU231" i="1"/>
  <c r="AR11" i="1"/>
  <c r="AS15" i="1" s="1"/>
  <c r="AS7" i="1"/>
  <c r="AS10" i="1"/>
  <c r="AS6" i="1"/>
  <c r="AR26" i="1"/>
  <c r="AR32" i="1"/>
  <c r="AR25" i="1"/>
  <c r="AR27" i="1"/>
  <c r="AR28" i="1"/>
  <c r="AR33" i="1"/>
  <c r="AS9" i="1"/>
  <c r="AS8" i="1" s="1"/>
  <c r="AS11" i="1" s="1"/>
  <c r="AS5" i="1"/>
  <c r="Y6" i="1"/>
  <c r="X26" i="1"/>
  <c r="X44" i="1"/>
  <c r="Y9" i="1"/>
  <c r="Y8" i="1" s="1"/>
  <c r="Y11" i="1" s="1"/>
  <c r="Y5" i="1"/>
  <c r="AU146" i="1" l="1"/>
  <c r="X34" i="1"/>
  <c r="Y34" i="1" s="1"/>
  <c r="AS90" i="1"/>
  <c r="AS13" i="1"/>
  <c r="AF54" i="1"/>
  <c r="AG54" i="1" s="1"/>
  <c r="AG46" i="1"/>
  <c r="AS213" i="1"/>
  <c r="AS266" i="1"/>
  <c r="AS14" i="1"/>
  <c r="AS96" i="1"/>
  <c r="AS187" i="1"/>
  <c r="AS231" i="1"/>
  <c r="AS39" i="1"/>
  <c r="AS137" i="1"/>
  <c r="AS111" i="1"/>
  <c r="AS261" i="1"/>
  <c r="AS27" i="1"/>
  <c r="AS225" i="1"/>
  <c r="Y18" i="1"/>
  <c r="Y32" i="1"/>
  <c r="Y13" i="1"/>
  <c r="Y229" i="1"/>
  <c r="Y90" i="1"/>
  <c r="Y28" i="1"/>
  <c r="Y198" i="1"/>
  <c r="Y83" i="1"/>
  <c r="Y30" i="1"/>
  <c r="Y39" i="1"/>
  <c r="Y25" i="1"/>
  <c r="Y146" i="1"/>
  <c r="Y14" i="1"/>
  <c r="Y225" i="1"/>
  <c r="AU248" i="1"/>
  <c r="AU32" i="1"/>
  <c r="Y7" i="1"/>
  <c r="AU187" i="1"/>
  <c r="AU266" i="1"/>
  <c r="AU104" i="1"/>
  <c r="AU198" i="1"/>
  <c r="AU15" i="1"/>
  <c r="AU225" i="1"/>
  <c r="AU13" i="1"/>
  <c r="AU213" i="1"/>
  <c r="AU27" i="1"/>
  <c r="AU30" i="1"/>
  <c r="Y44" i="1"/>
  <c r="AU96" i="1"/>
  <c r="AU39" i="1"/>
  <c r="AU31" i="1"/>
  <c r="AU99" i="1"/>
  <c r="AS33" i="1"/>
  <c r="AS28" i="1"/>
  <c r="AS248" i="1"/>
  <c r="AS146" i="1"/>
  <c r="AS99" i="1"/>
  <c r="AS138" i="1"/>
  <c r="AS29" i="1"/>
  <c r="AS207" i="1"/>
  <c r="AS44" i="1"/>
  <c r="AS104" i="1"/>
  <c r="AS77" i="1"/>
  <c r="AS198" i="1"/>
  <c r="AS132" i="1"/>
  <c r="AS52" i="1"/>
  <c r="AS48" i="1"/>
  <c r="AS30" i="1"/>
  <c r="AS21" i="1"/>
  <c r="AS31" i="1"/>
  <c r="AS32" i="1"/>
  <c r="AS26" i="1"/>
  <c r="AU21" i="1"/>
  <c r="AS17" i="1"/>
  <c r="AS16" i="1"/>
  <c r="AU17" i="1"/>
  <c r="AU16" i="1"/>
  <c r="Y26" i="1"/>
  <c r="AU44" i="1"/>
  <c r="AU33" i="1"/>
  <c r="AN46" i="1"/>
  <c r="AO36" i="1"/>
  <c r="AU26" i="1"/>
  <c r="X309" i="1"/>
  <c r="X310" i="1"/>
  <c r="AT310" i="1"/>
  <c r="AR310" i="1"/>
  <c r="AU264" i="1"/>
  <c r="AU262" i="1"/>
  <c r="AU259" i="1"/>
  <c r="AU257" i="1"/>
  <c r="AU255" i="1"/>
  <c r="AU253" i="1"/>
  <c r="AU251" i="1"/>
  <c r="AU249" i="1"/>
  <c r="AU246" i="1"/>
  <c r="AU244" i="1"/>
  <c r="AU242" i="1"/>
  <c r="AU240" i="1"/>
  <c r="AU238" i="1"/>
  <c r="AU236" i="1"/>
  <c r="AU234" i="1"/>
  <c r="AU232" i="1"/>
  <c r="AU229" i="1"/>
  <c r="AU223" i="1"/>
  <c r="AU221" i="1"/>
  <c r="AU220" i="1"/>
  <c r="AU218" i="1"/>
  <c r="AU212" i="1"/>
  <c r="AU210" i="1"/>
  <c r="AU209" i="1"/>
  <c r="AU205" i="1"/>
  <c r="AU203" i="1"/>
  <c r="AU197" i="1"/>
  <c r="AU195" i="1"/>
  <c r="AU193" i="1"/>
  <c r="AU192" i="1"/>
  <c r="AU173" i="1"/>
  <c r="AU171" i="1"/>
  <c r="AU144" i="1"/>
  <c r="AU142" i="1"/>
  <c r="AU140" i="1"/>
  <c r="AU139" i="1"/>
  <c r="AU135" i="1"/>
  <c r="AU133" i="1"/>
  <c r="AU130" i="1"/>
  <c r="AU128" i="1"/>
  <c r="AU126" i="1"/>
  <c r="AU124" i="1"/>
  <c r="AU122" i="1"/>
  <c r="AU120" i="1"/>
  <c r="AU118" i="1"/>
  <c r="AU116" i="1"/>
  <c r="AU114" i="1"/>
  <c r="AU112" i="1"/>
  <c r="AU109" i="1"/>
  <c r="AU107" i="1"/>
  <c r="AU102" i="1"/>
  <c r="AU100" i="1"/>
  <c r="AU95" i="1"/>
  <c r="AU89" i="1"/>
  <c r="AU87" i="1"/>
  <c r="AU85" i="1"/>
  <c r="AU84" i="1"/>
  <c r="AU81" i="1"/>
  <c r="AU75" i="1"/>
  <c r="AU73" i="1"/>
  <c r="AU72" i="1"/>
  <c r="AU70" i="1"/>
  <c r="AU69" i="1"/>
  <c r="AU67" i="1"/>
  <c r="AU65" i="1"/>
  <c r="AU50" i="1"/>
  <c r="AU43" i="1"/>
  <c r="AU38" i="1"/>
  <c r="AU20" i="1"/>
  <c r="AU265" i="1"/>
  <c r="AU263" i="1"/>
  <c r="AU260" i="1"/>
  <c r="AU258" i="1"/>
  <c r="AU256" i="1"/>
  <c r="AU254" i="1"/>
  <c r="AU252" i="1"/>
  <c r="AU250" i="1"/>
  <c r="AU247" i="1"/>
  <c r="AU245" i="1"/>
  <c r="AU243" i="1"/>
  <c r="AU241" i="1"/>
  <c r="AU239" i="1"/>
  <c r="AU237" i="1"/>
  <c r="AU235" i="1"/>
  <c r="AU233" i="1"/>
  <c r="AU230" i="1"/>
  <c r="AU224" i="1"/>
  <c r="AU222" i="1"/>
  <c r="AU219" i="1"/>
  <c r="AU217" i="1"/>
  <c r="AU211" i="1"/>
  <c r="AU208" i="1"/>
  <c r="AU206" i="1"/>
  <c r="AU204" i="1"/>
  <c r="AU202" i="1"/>
  <c r="AU196" i="1"/>
  <c r="AU194" i="1"/>
  <c r="AU191" i="1"/>
  <c r="AU172" i="1"/>
  <c r="AU145" i="1"/>
  <c r="AU143" i="1"/>
  <c r="AU141" i="1"/>
  <c r="AU138" i="1"/>
  <c r="AU137" i="1"/>
  <c r="AU136" i="1"/>
  <c r="AU134" i="1"/>
  <c r="AU132" i="1"/>
  <c r="AU131" i="1"/>
  <c r="AU129" i="1"/>
  <c r="AU127" i="1"/>
  <c r="AU125" i="1"/>
  <c r="AU123" i="1"/>
  <c r="AU121" i="1"/>
  <c r="AU119" i="1"/>
  <c r="AU117" i="1"/>
  <c r="AU115" i="1"/>
  <c r="AU113" i="1"/>
  <c r="AU111" i="1"/>
  <c r="AU110" i="1"/>
  <c r="AU108" i="1"/>
  <c r="AU103" i="1"/>
  <c r="AU101" i="1"/>
  <c r="AU98" i="1"/>
  <c r="AU97" i="1"/>
  <c r="AU94" i="1"/>
  <c r="AU88" i="1"/>
  <c r="AU86" i="1"/>
  <c r="AU83" i="1"/>
  <c r="AU82" i="1"/>
  <c r="AU76" i="1"/>
  <c r="AU74" i="1"/>
  <c r="AU71" i="1"/>
  <c r="AU68" i="1"/>
  <c r="AU66" i="1"/>
  <c r="AU64" i="1"/>
  <c r="AU51" i="1"/>
  <c r="AU42" i="1"/>
  <c r="AU41" i="1"/>
  <c r="AU40" i="1"/>
  <c r="AT23" i="1"/>
  <c r="AU19" i="1"/>
  <c r="AU18" i="1"/>
  <c r="AU25" i="1"/>
  <c r="AT34" i="1"/>
  <c r="AU34" i="1" s="1"/>
  <c r="AS264" i="1"/>
  <c r="AS262" i="1"/>
  <c r="AS259" i="1"/>
  <c r="AS257" i="1"/>
  <c r="AS255" i="1"/>
  <c r="AS253" i="1"/>
  <c r="AS251" i="1"/>
  <c r="AS249" i="1"/>
  <c r="AS246" i="1"/>
  <c r="AS244" i="1"/>
  <c r="AS242" i="1"/>
  <c r="AS240" i="1"/>
  <c r="AS238" i="1"/>
  <c r="AS236" i="1"/>
  <c r="AS234" i="1"/>
  <c r="AS232" i="1"/>
  <c r="AS229" i="1"/>
  <c r="AS223" i="1"/>
  <c r="AS221" i="1"/>
  <c r="AS220" i="1"/>
  <c r="AS218" i="1"/>
  <c r="AS212" i="1"/>
  <c r="AS210" i="1"/>
  <c r="AS209" i="1"/>
  <c r="AS205" i="1"/>
  <c r="AS203" i="1"/>
  <c r="AS197" i="1"/>
  <c r="AS195" i="1"/>
  <c r="AS193" i="1"/>
  <c r="AS192" i="1"/>
  <c r="AS173" i="1"/>
  <c r="AS171" i="1"/>
  <c r="AS144" i="1"/>
  <c r="AS142" i="1"/>
  <c r="AS140" i="1"/>
  <c r="AS139" i="1"/>
  <c r="AS135" i="1"/>
  <c r="AS133" i="1"/>
  <c r="AS130" i="1"/>
  <c r="AS128" i="1"/>
  <c r="AS126" i="1"/>
  <c r="AS124" i="1"/>
  <c r="AS122" i="1"/>
  <c r="AS120" i="1"/>
  <c r="AS118" i="1"/>
  <c r="AS116" i="1"/>
  <c r="AS114" i="1"/>
  <c r="AS112" i="1"/>
  <c r="AS109" i="1"/>
  <c r="AS107" i="1"/>
  <c r="AS102" i="1"/>
  <c r="AS100" i="1"/>
  <c r="AS95" i="1"/>
  <c r="AS89" i="1"/>
  <c r="AS87" i="1"/>
  <c r="AS85" i="1"/>
  <c r="AS84" i="1"/>
  <c r="AS81" i="1"/>
  <c r="AS75" i="1"/>
  <c r="AS73" i="1"/>
  <c r="AS72" i="1"/>
  <c r="AS70" i="1"/>
  <c r="AS69" i="1"/>
  <c r="AS67" i="1"/>
  <c r="AS65" i="1"/>
  <c r="AS50" i="1"/>
  <c r="AS43" i="1"/>
  <c r="AS38" i="1"/>
  <c r="AS20" i="1"/>
  <c r="AS265" i="1"/>
  <c r="AS263" i="1"/>
  <c r="AS260" i="1"/>
  <c r="AS258" i="1"/>
  <c r="AS256" i="1"/>
  <c r="AS254" i="1"/>
  <c r="AS252" i="1"/>
  <c r="AS250" i="1"/>
  <c r="AS247" i="1"/>
  <c r="AS245" i="1"/>
  <c r="AS243" i="1"/>
  <c r="AS241" i="1"/>
  <c r="AS239" i="1"/>
  <c r="AS237" i="1"/>
  <c r="AS235" i="1"/>
  <c r="AS233" i="1"/>
  <c r="AS230" i="1"/>
  <c r="AS224" i="1"/>
  <c r="AS222" i="1"/>
  <c r="AS219" i="1"/>
  <c r="AS217" i="1"/>
  <c r="AS211" i="1"/>
  <c r="AS208" i="1"/>
  <c r="AS206" i="1"/>
  <c r="AS204" i="1"/>
  <c r="AS202" i="1"/>
  <c r="AS196" i="1"/>
  <c r="AS194" i="1"/>
  <c r="AS191" i="1"/>
  <c r="AS172" i="1"/>
  <c r="AS145" i="1"/>
  <c r="AS143" i="1"/>
  <c r="AS141" i="1"/>
  <c r="AS136" i="1"/>
  <c r="AS134" i="1"/>
  <c r="AS131" i="1"/>
  <c r="AS129" i="1"/>
  <c r="AS127" i="1"/>
  <c r="AS125" i="1"/>
  <c r="AS123" i="1"/>
  <c r="AS121" i="1"/>
  <c r="AS119" i="1"/>
  <c r="AS117" i="1"/>
  <c r="AS115" i="1"/>
  <c r="AS113" i="1"/>
  <c r="AS110" i="1"/>
  <c r="AS108" i="1"/>
  <c r="AS103" i="1"/>
  <c r="AS101" i="1"/>
  <c r="AS98" i="1"/>
  <c r="AS97" i="1"/>
  <c r="AS94" i="1"/>
  <c r="AS88" i="1"/>
  <c r="AS86" i="1"/>
  <c r="AS83" i="1"/>
  <c r="AS82" i="1"/>
  <c r="AS76" i="1"/>
  <c r="AS74" i="1"/>
  <c r="AS71" i="1"/>
  <c r="AS68" i="1"/>
  <c r="AS66" i="1"/>
  <c r="AS64" i="1"/>
  <c r="AS51" i="1"/>
  <c r="AS42" i="1"/>
  <c r="AS41" i="1"/>
  <c r="AS40" i="1"/>
  <c r="AR23" i="1"/>
  <c r="AS19" i="1"/>
  <c r="AS18" i="1"/>
  <c r="AS25" i="1"/>
  <c r="AR34" i="1"/>
  <c r="AS34" i="1" s="1"/>
  <c r="Y261" i="1"/>
  <c r="Y259" i="1"/>
  <c r="Y257" i="1"/>
  <c r="Y255" i="1"/>
  <c r="Y253" i="1"/>
  <c r="Y251" i="1"/>
  <c r="Y249" i="1"/>
  <c r="Y247" i="1"/>
  <c r="Y245" i="1"/>
  <c r="Y243" i="1"/>
  <c r="Y241" i="1"/>
  <c r="Y239" i="1"/>
  <c r="Y237" i="1"/>
  <c r="Y235" i="1"/>
  <c r="Y233" i="1"/>
  <c r="Y231" i="1"/>
  <c r="Y224" i="1"/>
  <c r="Y222" i="1"/>
  <c r="Y220" i="1"/>
  <c r="Y218" i="1"/>
  <c r="Y212" i="1"/>
  <c r="Y210" i="1"/>
  <c r="Y209" i="1"/>
  <c r="Y205" i="1"/>
  <c r="Y203" i="1"/>
  <c r="Y197" i="1"/>
  <c r="Y195" i="1"/>
  <c r="Y193" i="1"/>
  <c r="Y192" i="1"/>
  <c r="Y173" i="1"/>
  <c r="Y171" i="1"/>
  <c r="Y144" i="1"/>
  <c r="Y142" i="1"/>
  <c r="Y140" i="1"/>
  <c r="Y139" i="1"/>
  <c r="Y137" i="1"/>
  <c r="Y135" i="1"/>
  <c r="Y133" i="1"/>
  <c r="Y131" i="1"/>
  <c r="Y129" i="1"/>
  <c r="Y127" i="1"/>
  <c r="Y125" i="1"/>
  <c r="Y123" i="1"/>
  <c r="Y121" i="1"/>
  <c r="Y119" i="1"/>
  <c r="Y117" i="1"/>
  <c r="Y115" i="1"/>
  <c r="Y113" i="1"/>
  <c r="Y111" i="1"/>
  <c r="Y109" i="1"/>
  <c r="Y107" i="1"/>
  <c r="Y102" i="1"/>
  <c r="Y100" i="1"/>
  <c r="Y98" i="1"/>
  <c r="Y97" i="1"/>
  <c r="Y95" i="1"/>
  <c r="Y89" i="1"/>
  <c r="Y87" i="1"/>
  <c r="Y85" i="1"/>
  <c r="Y84" i="1"/>
  <c r="Y81" i="1"/>
  <c r="Y75" i="1"/>
  <c r="Y73" i="1"/>
  <c r="Y71" i="1"/>
  <c r="Y68" i="1"/>
  <c r="Y66" i="1"/>
  <c r="Y64" i="1"/>
  <c r="Y52" i="1"/>
  <c r="Y51" i="1"/>
  <c r="Y48" i="1"/>
  <c r="Y42" i="1"/>
  <c r="Y41" i="1"/>
  <c r="Y40" i="1"/>
  <c r="Y20" i="1"/>
  <c r="Y265" i="1"/>
  <c r="Y264" i="1"/>
  <c r="Y263" i="1"/>
  <c r="Y262" i="1"/>
  <c r="Y260" i="1"/>
  <c r="Y258" i="1"/>
  <c r="Y256" i="1"/>
  <c r="Y254" i="1"/>
  <c r="Y252" i="1"/>
  <c r="Y250" i="1"/>
  <c r="Y248" i="1"/>
  <c r="Y246" i="1"/>
  <c r="Y244" i="1"/>
  <c r="Y242" i="1"/>
  <c r="Y240" i="1"/>
  <c r="Y238" i="1"/>
  <c r="Y236" i="1"/>
  <c r="Y234" i="1"/>
  <c r="Y232" i="1"/>
  <c r="Y230" i="1"/>
  <c r="Y223" i="1"/>
  <c r="Y221" i="1"/>
  <c r="Y219" i="1"/>
  <c r="Y217" i="1"/>
  <c r="Y211" i="1"/>
  <c r="Y208" i="1"/>
  <c r="Y206" i="1"/>
  <c r="Y204" i="1"/>
  <c r="Y202" i="1"/>
  <c r="Y196" i="1"/>
  <c r="Y194" i="1"/>
  <c r="Y191" i="1"/>
  <c r="Y172" i="1"/>
  <c r="Y145" i="1"/>
  <c r="Y143" i="1"/>
  <c r="Y141" i="1"/>
  <c r="Y138" i="1"/>
  <c r="Y136" i="1"/>
  <c r="Y134" i="1"/>
  <c r="Y132" i="1"/>
  <c r="Y130" i="1"/>
  <c r="Y128" i="1"/>
  <c r="Y126" i="1"/>
  <c r="Y124" i="1"/>
  <c r="Y122" i="1"/>
  <c r="Y120" i="1"/>
  <c r="Y118" i="1"/>
  <c r="Y116" i="1"/>
  <c r="Y114" i="1"/>
  <c r="Y112" i="1"/>
  <c r="Y110" i="1"/>
  <c r="Y108" i="1"/>
  <c r="Y103" i="1"/>
  <c r="Y101" i="1"/>
  <c r="Y99" i="1"/>
  <c r="Y96" i="1"/>
  <c r="Y94" i="1"/>
  <c r="Y88" i="1"/>
  <c r="Y86" i="1"/>
  <c r="Y82" i="1"/>
  <c r="Y76" i="1"/>
  <c r="Y74" i="1"/>
  <c r="Y72" i="1"/>
  <c r="Y70" i="1"/>
  <c r="Y69" i="1"/>
  <c r="Y67" i="1"/>
  <c r="Y65" i="1"/>
  <c r="Y50" i="1"/>
  <c r="Y43" i="1"/>
  <c r="Y38" i="1"/>
  <c r="X23" i="1"/>
  <c r="Y19" i="1"/>
  <c r="Y187" i="1"/>
  <c r="Y77" i="1"/>
  <c r="Y29" i="1"/>
  <c r="Y15" i="1"/>
  <c r="Y266" i="1"/>
  <c r="Y213" i="1"/>
  <c r="Y104" i="1"/>
  <c r="Y31" i="1"/>
  <c r="Y27" i="1"/>
  <c r="Y21" i="1"/>
  <c r="Y33" i="1"/>
  <c r="AP221" i="1"/>
  <c r="AN54" i="1" l="1"/>
  <c r="AO54" i="1" s="1"/>
  <c r="AO46" i="1"/>
  <c r="AT309" i="1"/>
  <c r="AR309" i="1"/>
  <c r="AU23" i="1"/>
  <c r="AT36" i="1"/>
  <c r="AS23" i="1"/>
  <c r="AR36" i="1"/>
  <c r="Y23" i="1"/>
  <c r="X36" i="1"/>
  <c r="P255" i="1"/>
  <c r="P238" i="1"/>
  <c r="P229" i="1"/>
  <c r="P205" i="1"/>
  <c r="P203" i="1"/>
  <c r="P136" i="1"/>
  <c r="P135" i="1"/>
  <c r="P126" i="1"/>
  <c r="P107" i="1"/>
  <c r="P83" i="1"/>
  <c r="P64" i="1"/>
  <c r="P77" i="1" s="1"/>
  <c r="N259" i="1"/>
  <c r="N238" i="1"/>
  <c r="N232" i="1"/>
  <c r="N229" i="1"/>
  <c r="N266" i="1" s="1"/>
  <c r="N138" i="1"/>
  <c r="N135" i="1"/>
  <c r="N126" i="1"/>
  <c r="N107" i="1"/>
  <c r="N83" i="1"/>
  <c r="N64" i="1"/>
  <c r="N302" i="1" s="1"/>
  <c r="N307" i="1" s="1"/>
  <c r="P295" i="1"/>
  <c r="P281" i="1"/>
  <c r="P269" i="1"/>
  <c r="P301" i="1" s="1"/>
  <c r="P266" i="1"/>
  <c r="P225" i="1"/>
  <c r="P32" i="1" s="1"/>
  <c r="P198" i="1"/>
  <c r="P187" i="1"/>
  <c r="P29" i="1" s="1"/>
  <c r="P90" i="1"/>
  <c r="P52" i="1"/>
  <c r="P21" i="1"/>
  <c r="P8" i="1"/>
  <c r="P11" i="1" s="1"/>
  <c r="N295" i="1"/>
  <c r="N281" i="1"/>
  <c r="N269" i="1"/>
  <c r="N301" i="1" s="1"/>
  <c r="N225" i="1"/>
  <c r="N32" i="1" s="1"/>
  <c r="N213" i="1"/>
  <c r="N198" i="1"/>
  <c r="N187" i="1"/>
  <c r="N29" i="1" s="1"/>
  <c r="N90" i="1"/>
  <c r="N52" i="1"/>
  <c r="N21" i="1"/>
  <c r="N8" i="1"/>
  <c r="N11" i="1" s="1"/>
  <c r="L225" i="1"/>
  <c r="L32" i="1" s="1"/>
  <c r="H225" i="1"/>
  <c r="H32" i="1" s="1"/>
  <c r="D225" i="1"/>
  <c r="D32" i="1" s="1"/>
  <c r="F225" i="1"/>
  <c r="F32" i="1" s="1"/>
  <c r="J225" i="1"/>
  <c r="J32" i="1" s="1"/>
  <c r="R225" i="1"/>
  <c r="R32" i="1" s="1"/>
  <c r="V265" i="1"/>
  <c r="V305" i="1" s="1"/>
  <c r="V264" i="1"/>
  <c r="V304" i="1" s="1"/>
  <c r="V263" i="1"/>
  <c r="V303" i="1" s="1"/>
  <c r="T265" i="1"/>
  <c r="T305" i="1" s="1"/>
  <c r="T264" i="1"/>
  <c r="T304" i="1" s="1"/>
  <c r="T263" i="1"/>
  <c r="T303" i="1" s="1"/>
  <c r="V229" i="1"/>
  <c r="T229" i="1"/>
  <c r="V225" i="1"/>
  <c r="V32" i="1" s="1"/>
  <c r="T225" i="1"/>
  <c r="T32" i="1" s="1"/>
  <c r="AL225" i="1"/>
  <c r="AL32" i="1" s="1"/>
  <c r="AD225" i="1"/>
  <c r="AD32" i="1" s="1"/>
  <c r="AH32" i="1" s="1"/>
  <c r="AI32" i="1" s="1"/>
  <c r="AV224" i="1"/>
  <c r="AW224" i="1" s="1"/>
  <c r="AP224" i="1"/>
  <c r="AQ224" i="1" s="1"/>
  <c r="AV223" i="1"/>
  <c r="AW223" i="1" s="1"/>
  <c r="AP223" i="1"/>
  <c r="AQ223" i="1" s="1"/>
  <c r="AV222" i="1"/>
  <c r="AW222" i="1" s="1"/>
  <c r="AP222" i="1"/>
  <c r="AQ222" i="1" s="1"/>
  <c r="AV221" i="1"/>
  <c r="AW221" i="1" s="1"/>
  <c r="AQ221" i="1"/>
  <c r="AV220" i="1"/>
  <c r="AW220" i="1" s="1"/>
  <c r="AP220" i="1"/>
  <c r="AQ220" i="1" s="1"/>
  <c r="AV219" i="1"/>
  <c r="AW219" i="1" s="1"/>
  <c r="AP219" i="1"/>
  <c r="AQ219" i="1" s="1"/>
  <c r="AV218" i="1"/>
  <c r="AW218" i="1" s="1"/>
  <c r="AQ218" i="1"/>
  <c r="AV217" i="1"/>
  <c r="AP217" i="1"/>
  <c r="T259" i="1"/>
  <c r="R259" i="1"/>
  <c r="H259" i="1"/>
  <c r="F259" i="1"/>
  <c r="D259" i="1"/>
  <c r="T256" i="1"/>
  <c r="R238" i="1"/>
  <c r="L238" i="1"/>
  <c r="J238" i="1"/>
  <c r="H238" i="1"/>
  <c r="F238" i="1"/>
  <c r="D238" i="1"/>
  <c r="R229" i="1"/>
  <c r="L229" i="1"/>
  <c r="J229" i="1"/>
  <c r="H229" i="1"/>
  <c r="F229" i="1"/>
  <c r="D229" i="1"/>
  <c r="R205" i="1"/>
  <c r="R203" i="1"/>
  <c r="R245" i="1"/>
  <c r="L245" i="1"/>
  <c r="J245" i="1"/>
  <c r="H245" i="1"/>
  <c r="F245" i="1"/>
  <c r="D245" i="1"/>
  <c r="T135" i="1"/>
  <c r="R135" i="1"/>
  <c r="L135" i="1"/>
  <c r="J135" i="1"/>
  <c r="H135" i="1"/>
  <c r="F135" i="1"/>
  <c r="D135" i="1"/>
  <c r="R116" i="1"/>
  <c r="L116" i="1"/>
  <c r="V107" i="1"/>
  <c r="T107" i="1"/>
  <c r="T302" i="1" s="1"/>
  <c r="R107" i="1"/>
  <c r="R302" i="1" s="1"/>
  <c r="R307" i="1" s="1"/>
  <c r="L107" i="1"/>
  <c r="J107" i="1"/>
  <c r="H107" i="1"/>
  <c r="F107" i="1"/>
  <c r="F302" i="1" s="1"/>
  <c r="D107" i="1"/>
  <c r="R136" i="1"/>
  <c r="H136" i="1"/>
  <c r="F136" i="1"/>
  <c r="L94" i="1"/>
  <c r="J94" i="1"/>
  <c r="V83" i="1"/>
  <c r="T83" i="1"/>
  <c r="T90" i="1" s="1"/>
  <c r="T26" i="1" s="1"/>
  <c r="R83" i="1"/>
  <c r="L83" i="1"/>
  <c r="J83" i="1"/>
  <c r="H83" i="1"/>
  <c r="F83" i="1"/>
  <c r="D83" i="1"/>
  <c r="L64" i="1"/>
  <c r="J64" i="1"/>
  <c r="H64" i="1"/>
  <c r="H302" i="1" s="1"/>
  <c r="D64" i="1"/>
  <c r="V48" i="1"/>
  <c r="T48" i="1"/>
  <c r="R48" i="1"/>
  <c r="L48" i="1"/>
  <c r="J48" i="1"/>
  <c r="H48" i="1"/>
  <c r="F48" i="1"/>
  <c r="D48" i="1"/>
  <c r="R5" i="1"/>
  <c r="L5" i="1"/>
  <c r="F5" i="1"/>
  <c r="V287" i="1"/>
  <c r="V295" i="1" s="1"/>
  <c r="V281" i="1"/>
  <c r="V269" i="1"/>
  <c r="V301" i="1" s="1"/>
  <c r="V266" i="1"/>
  <c r="V33" i="1" s="1"/>
  <c r="V213" i="1"/>
  <c r="V31" i="1" s="1"/>
  <c r="V198" i="1"/>
  <c r="V187" i="1"/>
  <c r="V137" i="1"/>
  <c r="V146" i="1" s="1"/>
  <c r="V99" i="1"/>
  <c r="V104" i="1" s="1"/>
  <c r="V90" i="1"/>
  <c r="V26" i="1" s="1"/>
  <c r="V73" i="1"/>
  <c r="V64" i="1"/>
  <c r="V302" i="1" s="1"/>
  <c r="V52" i="1"/>
  <c r="V30" i="1"/>
  <c r="V19" i="1"/>
  <c r="V18" i="1"/>
  <c r="V15" i="1"/>
  <c r="V14" i="1"/>
  <c r="V13" i="1"/>
  <c r="V9" i="1"/>
  <c r="V6" i="1"/>
  <c r="V5" i="1"/>
  <c r="T290" i="1"/>
  <c r="T295" i="1" s="1"/>
  <c r="T281" i="1"/>
  <c r="T269" i="1"/>
  <c r="T301" i="1" s="1"/>
  <c r="T250" i="1"/>
  <c r="T209" i="1"/>
  <c r="T213" i="1" s="1"/>
  <c r="T198" i="1"/>
  <c r="T30" i="1" s="1"/>
  <c r="T187" i="1"/>
  <c r="T138" i="1"/>
  <c r="T127" i="1"/>
  <c r="T99" i="1"/>
  <c r="T104" i="1" s="1"/>
  <c r="T73" i="1"/>
  <c r="T77" i="1" s="1"/>
  <c r="T25" i="1" s="1"/>
  <c r="T57" i="1"/>
  <c r="T52" i="1"/>
  <c r="T42" i="1"/>
  <c r="T20" i="1"/>
  <c r="T19" i="1"/>
  <c r="T18" i="1"/>
  <c r="T15" i="1"/>
  <c r="T14" i="1"/>
  <c r="T13" i="1"/>
  <c r="T9" i="1"/>
  <c r="T7" i="1"/>
  <c r="T6" i="1"/>
  <c r="T5" i="1"/>
  <c r="AV59" i="1"/>
  <c r="AV57" i="1"/>
  <c r="AV56" i="1"/>
  <c r="AV225" i="1" l="1"/>
  <c r="AV32" i="1" s="1"/>
  <c r="AW32" i="1" s="1"/>
  <c r="L302" i="1"/>
  <c r="D302" i="1"/>
  <c r="AP225" i="1"/>
  <c r="AQ225" i="1" s="1"/>
  <c r="J302" i="1"/>
  <c r="N77" i="1"/>
  <c r="O77" i="1" s="1"/>
  <c r="P302" i="1"/>
  <c r="P307" i="1" s="1"/>
  <c r="T306" i="1"/>
  <c r="T307" i="1" s="1"/>
  <c r="V306" i="1"/>
  <c r="V307" i="1" s="1"/>
  <c r="N310" i="1"/>
  <c r="P310" i="1"/>
  <c r="AT46" i="1"/>
  <c r="AU36" i="1"/>
  <c r="AR46" i="1"/>
  <c r="AS36" i="1"/>
  <c r="Y36" i="1"/>
  <c r="X46" i="1"/>
  <c r="P213" i="1"/>
  <c r="Q213" i="1" s="1"/>
  <c r="P297" i="1"/>
  <c r="P39" i="1" s="1"/>
  <c r="P44" i="1" s="1"/>
  <c r="N297" i="1"/>
  <c r="N39" i="1" s="1"/>
  <c r="N44" i="1" s="1"/>
  <c r="O44" i="1" s="1"/>
  <c r="Q90" i="1"/>
  <c r="P26" i="1"/>
  <c r="Q26" i="1" s="1"/>
  <c r="Q6" i="1"/>
  <c r="Q9" i="1"/>
  <c r="Q8" i="1" s="1"/>
  <c r="Q11" i="1" s="1"/>
  <c r="Q14" i="1"/>
  <c r="Q29" i="1"/>
  <c r="Q44" i="1"/>
  <c r="Q43" i="1"/>
  <c r="Q52" i="1"/>
  <c r="Q107" i="1"/>
  <c r="Q116" i="1"/>
  <c r="Q136" i="1"/>
  <c r="Q187" i="1"/>
  <c r="Q234" i="1"/>
  <c r="Q245" i="1"/>
  <c r="Q264" i="1"/>
  <c r="Q262" i="1"/>
  <c r="Q260" i="1"/>
  <c r="Q257" i="1"/>
  <c r="Q255" i="1"/>
  <c r="Q253" i="1"/>
  <c r="Q251" i="1"/>
  <c r="Q249" i="1"/>
  <c r="Q247" i="1"/>
  <c r="Q244" i="1"/>
  <c r="Q242" i="1"/>
  <c r="Q240" i="1"/>
  <c r="Q237" i="1"/>
  <c r="Q235" i="1"/>
  <c r="Q232" i="1"/>
  <c r="Q230" i="1"/>
  <c r="Q212" i="1"/>
  <c r="Q210" i="1"/>
  <c r="Q209" i="1"/>
  <c r="Q204" i="1"/>
  <c r="Q197" i="1"/>
  <c r="Q195" i="1"/>
  <c r="Q191" i="1"/>
  <c r="Q172" i="1"/>
  <c r="Q145" i="1"/>
  <c r="Q143" i="1"/>
  <c r="Q141" i="1"/>
  <c r="Q137" i="1"/>
  <c r="Q133" i="1"/>
  <c r="Q131" i="1"/>
  <c r="Q129" i="1"/>
  <c r="Q127" i="1"/>
  <c r="Q125" i="1"/>
  <c r="Q123" i="1"/>
  <c r="Q121" i="1"/>
  <c r="Q119" i="1"/>
  <c r="Q117" i="1"/>
  <c r="Q114" i="1"/>
  <c r="Q112" i="1"/>
  <c r="Q109" i="1"/>
  <c r="Q103" i="1"/>
  <c r="Q101" i="1"/>
  <c r="Q98" i="1"/>
  <c r="Q97" i="1"/>
  <c r="Q95" i="1"/>
  <c r="Q89" i="1"/>
  <c r="Q87" i="1"/>
  <c r="Q85" i="1"/>
  <c r="Q84" i="1"/>
  <c r="Q81" i="1"/>
  <c r="Q75" i="1"/>
  <c r="Q73" i="1"/>
  <c r="Q72" i="1"/>
  <c r="Q70" i="1"/>
  <c r="Q69" i="1"/>
  <c r="Q67" i="1"/>
  <c r="Q65" i="1"/>
  <c r="Q50" i="1"/>
  <c r="Q20" i="1"/>
  <c r="Q265" i="1"/>
  <c r="Q263" i="1"/>
  <c r="Q261" i="1"/>
  <c r="Q258" i="1"/>
  <c r="Q256" i="1"/>
  <c r="Q254" i="1"/>
  <c r="Q252" i="1"/>
  <c r="Q250" i="1"/>
  <c r="Q248" i="1"/>
  <c r="Q246" i="1"/>
  <c r="Q243" i="1"/>
  <c r="Q241" i="1"/>
  <c r="Q239" i="1"/>
  <c r="Q236" i="1"/>
  <c r="Q233" i="1"/>
  <c r="Q231" i="1"/>
  <c r="Q211" i="1"/>
  <c r="Q208" i="1"/>
  <c r="Q206" i="1"/>
  <c r="Q203" i="1"/>
  <c r="Q202" i="1"/>
  <c r="Q196" i="1"/>
  <c r="Q194" i="1"/>
  <c r="Q193" i="1"/>
  <c r="Q192" i="1"/>
  <c r="Q173" i="1"/>
  <c r="Q171" i="1"/>
  <c r="Q144" i="1"/>
  <c r="Q142" i="1"/>
  <c r="Q140" i="1"/>
  <c r="Q139" i="1"/>
  <c r="Q134" i="1"/>
  <c r="Q132" i="1"/>
  <c r="Q130" i="1"/>
  <c r="Q128" i="1"/>
  <c r="Q126" i="1"/>
  <c r="Q124" i="1"/>
  <c r="Q122" i="1"/>
  <c r="Q120" i="1"/>
  <c r="Q118" i="1"/>
  <c r="Q115" i="1"/>
  <c r="Q113" i="1"/>
  <c r="Q111" i="1"/>
  <c r="Q108" i="1"/>
  <c r="Q102" i="1"/>
  <c r="Q100" i="1"/>
  <c r="Q96" i="1"/>
  <c r="Q94" i="1"/>
  <c r="Q88" i="1"/>
  <c r="Q86" i="1"/>
  <c r="Q83" i="1"/>
  <c r="Q82" i="1"/>
  <c r="Q76" i="1"/>
  <c r="Q74" i="1"/>
  <c r="Q71" i="1"/>
  <c r="Q68" i="1"/>
  <c r="Q66" i="1"/>
  <c r="Q64" i="1"/>
  <c r="Q51" i="1"/>
  <c r="Q41" i="1"/>
  <c r="Q40" i="1"/>
  <c r="P23" i="1"/>
  <c r="Q19" i="1"/>
  <c r="Q18" i="1"/>
  <c r="Q77" i="1"/>
  <c r="P25" i="1"/>
  <c r="Q198" i="1"/>
  <c r="P30" i="1"/>
  <c r="Q30" i="1" s="1"/>
  <c r="Q266" i="1"/>
  <c r="P33" i="1"/>
  <c r="Q33" i="1" s="1"/>
  <c r="Q7" i="1"/>
  <c r="Q21" i="1"/>
  <c r="Q15" i="1"/>
  <c r="Q32" i="1"/>
  <c r="Q42" i="1"/>
  <c r="Q48" i="1"/>
  <c r="Q99" i="1"/>
  <c r="Q110" i="1"/>
  <c r="Q135" i="1"/>
  <c r="Q138" i="1"/>
  <c r="Q205" i="1"/>
  <c r="Q238" i="1"/>
  <c r="Q259" i="1"/>
  <c r="Q5" i="1"/>
  <c r="Q13" i="1"/>
  <c r="P104" i="1"/>
  <c r="P146" i="1"/>
  <c r="Q229" i="1"/>
  <c r="Q38" i="1"/>
  <c r="O90" i="1"/>
  <c r="N26" i="1"/>
  <c r="O26" i="1" s="1"/>
  <c r="O213" i="1"/>
  <c r="N31" i="1"/>
  <c r="O31" i="1" s="1"/>
  <c r="O6" i="1"/>
  <c r="O9" i="1"/>
  <c r="O8" i="1" s="1"/>
  <c r="O11" i="1" s="1"/>
  <c r="O14" i="1"/>
  <c r="O18" i="1"/>
  <c r="O29" i="1"/>
  <c r="O43" i="1"/>
  <c r="O52" i="1"/>
  <c r="O107" i="1"/>
  <c r="O116" i="1"/>
  <c r="O136" i="1"/>
  <c r="O187" i="1"/>
  <c r="O234" i="1"/>
  <c r="O245" i="1"/>
  <c r="O264" i="1"/>
  <c r="O262" i="1"/>
  <c r="O260" i="1"/>
  <c r="O257" i="1"/>
  <c r="O255" i="1"/>
  <c r="O253" i="1"/>
  <c r="O251" i="1"/>
  <c r="O249" i="1"/>
  <c r="O247" i="1"/>
  <c r="O244" i="1"/>
  <c r="O242" i="1"/>
  <c r="O240" i="1"/>
  <c r="O237" i="1"/>
  <c r="O235" i="1"/>
  <c r="O232" i="1"/>
  <c r="O230" i="1"/>
  <c r="O212" i="1"/>
  <c r="O210" i="1"/>
  <c r="O209" i="1"/>
  <c r="O204" i="1"/>
  <c r="O197" i="1"/>
  <c r="O195" i="1"/>
  <c r="O191" i="1"/>
  <c r="O172" i="1"/>
  <c r="O145" i="1"/>
  <c r="O143" i="1"/>
  <c r="O141" i="1"/>
  <c r="O137" i="1"/>
  <c r="O133" i="1"/>
  <c r="O131" i="1"/>
  <c r="O129" i="1"/>
  <c r="O127" i="1"/>
  <c r="O125" i="1"/>
  <c r="O123" i="1"/>
  <c r="O121" i="1"/>
  <c r="O119" i="1"/>
  <c r="O117" i="1"/>
  <c r="O114" i="1"/>
  <c r="O112" i="1"/>
  <c r="O109" i="1"/>
  <c r="O103" i="1"/>
  <c r="O101" i="1"/>
  <c r="O98" i="1"/>
  <c r="O97" i="1"/>
  <c r="O95" i="1"/>
  <c r="O89" i="1"/>
  <c r="O87" i="1"/>
  <c r="O85" i="1"/>
  <c r="O84" i="1"/>
  <c r="O81" i="1"/>
  <c r="O75" i="1"/>
  <c r="O73" i="1"/>
  <c r="O72" i="1"/>
  <c r="O70" i="1"/>
  <c r="O69" i="1"/>
  <c r="O67" i="1"/>
  <c r="O65" i="1"/>
  <c r="O50" i="1"/>
  <c r="O20" i="1"/>
  <c r="O265" i="1"/>
  <c r="O263" i="1"/>
  <c r="O261" i="1"/>
  <c r="O258" i="1"/>
  <c r="O256" i="1"/>
  <c r="O254" i="1"/>
  <c r="O252" i="1"/>
  <c r="O250" i="1"/>
  <c r="O248" i="1"/>
  <c r="O246" i="1"/>
  <c r="O243" i="1"/>
  <c r="O241" i="1"/>
  <c r="O239" i="1"/>
  <c r="O236" i="1"/>
  <c r="O233" i="1"/>
  <c r="O231" i="1"/>
  <c r="O211" i="1"/>
  <c r="O208" i="1"/>
  <c r="O206" i="1"/>
  <c r="O203" i="1"/>
  <c r="O202" i="1"/>
  <c r="O196" i="1"/>
  <c r="O194" i="1"/>
  <c r="O193" i="1"/>
  <c r="O192" i="1"/>
  <c r="O173" i="1"/>
  <c r="O171" i="1"/>
  <c r="O144" i="1"/>
  <c r="O142" i="1"/>
  <c r="O140" i="1"/>
  <c r="O139" i="1"/>
  <c r="O134" i="1"/>
  <c r="O132" i="1"/>
  <c r="O130" i="1"/>
  <c r="O128" i="1"/>
  <c r="O126" i="1"/>
  <c r="O124" i="1"/>
  <c r="O122" i="1"/>
  <c r="O120" i="1"/>
  <c r="O118" i="1"/>
  <c r="O115" i="1"/>
  <c r="O113" i="1"/>
  <c r="O111" i="1"/>
  <c r="O108" i="1"/>
  <c r="O102" i="1"/>
  <c r="O100" i="1"/>
  <c r="O96" i="1"/>
  <c r="O94" i="1"/>
  <c r="O88" i="1"/>
  <c r="O86" i="1"/>
  <c r="O83" i="1"/>
  <c r="O82" i="1"/>
  <c r="O76" i="1"/>
  <c r="O74" i="1"/>
  <c r="O71" i="1"/>
  <c r="O68" i="1"/>
  <c r="O66" i="1"/>
  <c r="O64" i="1"/>
  <c r="O51" i="1"/>
  <c r="O41" i="1"/>
  <c r="O40" i="1"/>
  <c r="N23" i="1"/>
  <c r="O198" i="1"/>
  <c r="N30" i="1"/>
  <c r="O30" i="1" s="1"/>
  <c r="O266" i="1"/>
  <c r="N33" i="1"/>
  <c r="O33" i="1" s="1"/>
  <c r="O7" i="1"/>
  <c r="O21" i="1"/>
  <c r="O15" i="1"/>
  <c r="O19" i="1"/>
  <c r="O32" i="1"/>
  <c r="O42" i="1"/>
  <c r="O48" i="1"/>
  <c r="O99" i="1"/>
  <c r="O110" i="1"/>
  <c r="O135" i="1"/>
  <c r="O138" i="1"/>
  <c r="O205" i="1"/>
  <c r="O238" i="1"/>
  <c r="O259" i="1"/>
  <c r="O5" i="1"/>
  <c r="O13" i="1"/>
  <c r="N104" i="1"/>
  <c r="N146" i="1"/>
  <c r="O229" i="1"/>
  <c r="O38" i="1"/>
  <c r="AW217" i="1"/>
  <c r="AQ217" i="1"/>
  <c r="T146" i="1"/>
  <c r="T28" i="1" s="1"/>
  <c r="T29" i="1"/>
  <c r="V29" i="1"/>
  <c r="V8" i="1"/>
  <c r="W5" i="1" s="1"/>
  <c r="T8" i="1"/>
  <c r="U9" i="1" s="1"/>
  <c r="U8" i="1" s="1"/>
  <c r="U11" i="1" s="1"/>
  <c r="T21" i="1"/>
  <c r="T297" i="1"/>
  <c r="T39" i="1" s="1"/>
  <c r="T44" i="1" s="1"/>
  <c r="V21" i="1"/>
  <c r="V77" i="1"/>
  <c r="V25" i="1" s="1"/>
  <c r="V28" i="1"/>
  <c r="W7" i="1"/>
  <c r="W6" i="1"/>
  <c r="V27" i="1"/>
  <c r="V297" i="1"/>
  <c r="V39" i="1" s="1"/>
  <c r="T27" i="1"/>
  <c r="T31" i="1"/>
  <c r="T266" i="1"/>
  <c r="AD266" i="1"/>
  <c r="AQ10" i="1"/>
  <c r="AP173" i="1"/>
  <c r="AQ173" i="1" s="1"/>
  <c r="AP172" i="1"/>
  <c r="AQ172" i="1" s="1"/>
  <c r="AP171" i="1"/>
  <c r="AQ171" i="1" s="1"/>
  <c r="AP294" i="1"/>
  <c r="AQ294" i="1" s="1"/>
  <c r="AP293" i="1"/>
  <c r="AP292" i="1"/>
  <c r="AQ292" i="1" s="1"/>
  <c r="AP291" i="1"/>
  <c r="AQ291" i="1" s="1"/>
  <c r="AQ290" i="1"/>
  <c r="AP289" i="1"/>
  <c r="AQ289" i="1" s="1"/>
  <c r="AP288" i="1"/>
  <c r="AQ288" i="1" s="1"/>
  <c r="AP286" i="1"/>
  <c r="AQ286" i="1" s="1"/>
  <c r="AP285" i="1"/>
  <c r="AQ285" i="1" s="1"/>
  <c r="AP284" i="1"/>
  <c r="AQ284" i="1" s="1"/>
  <c r="AP262" i="1"/>
  <c r="AP261" i="1"/>
  <c r="AQ261" i="1" s="1"/>
  <c r="AP260" i="1"/>
  <c r="AP259" i="1"/>
  <c r="AQ259" i="1" s="1"/>
  <c r="AP257" i="1"/>
  <c r="AQ257" i="1" s="1"/>
  <c r="AP256" i="1"/>
  <c r="AQ256" i="1" s="1"/>
  <c r="AP255" i="1"/>
  <c r="AQ255" i="1" s="1"/>
  <c r="AP254" i="1"/>
  <c r="AQ254" i="1" s="1"/>
  <c r="AP252" i="1"/>
  <c r="AQ252" i="1" s="1"/>
  <c r="AP251" i="1"/>
  <c r="AQ251" i="1" s="1"/>
  <c r="AP250" i="1"/>
  <c r="AQ250" i="1" s="1"/>
  <c r="AP249" i="1"/>
  <c r="AQ249" i="1" s="1"/>
  <c r="AP248" i="1"/>
  <c r="AQ248" i="1" s="1"/>
  <c r="AP247" i="1"/>
  <c r="AQ247" i="1" s="1"/>
  <c r="AP245" i="1"/>
  <c r="AQ245" i="1" s="1"/>
  <c r="AP243" i="1"/>
  <c r="AQ243" i="1" s="1"/>
  <c r="AP242" i="1"/>
  <c r="AQ242" i="1" s="1"/>
  <c r="AP241" i="1"/>
  <c r="AQ241" i="1" s="1"/>
  <c r="AP239" i="1"/>
  <c r="AQ239" i="1" s="1"/>
  <c r="AP238" i="1"/>
  <c r="AQ238" i="1" s="1"/>
  <c r="AP237" i="1"/>
  <c r="AQ237" i="1" s="1"/>
  <c r="AP236" i="1"/>
  <c r="AQ236" i="1" s="1"/>
  <c r="AP235" i="1"/>
  <c r="AQ235" i="1" s="1"/>
  <c r="AP230" i="1"/>
  <c r="AQ230" i="1" s="1"/>
  <c r="AP212" i="1"/>
  <c r="AQ212" i="1" s="1"/>
  <c r="AP211" i="1"/>
  <c r="AQ211" i="1" s="1"/>
  <c r="AP210" i="1"/>
  <c r="AQ210" i="1" s="1"/>
  <c r="AP206" i="1"/>
  <c r="AQ206" i="1" s="1"/>
  <c r="AP205" i="1"/>
  <c r="AQ205" i="1" s="1"/>
  <c r="AP204" i="1"/>
  <c r="AQ204" i="1" s="1"/>
  <c r="AQ203" i="1"/>
  <c r="AP202" i="1"/>
  <c r="AQ202" i="1" s="1"/>
  <c r="AP197" i="1"/>
  <c r="AQ197" i="1" s="1"/>
  <c r="AP196" i="1"/>
  <c r="AQ196" i="1" s="1"/>
  <c r="AP195" i="1"/>
  <c r="AQ195" i="1" s="1"/>
  <c r="AP193" i="1"/>
  <c r="AQ193" i="1" s="1"/>
  <c r="AP192" i="1"/>
  <c r="AQ192" i="1" s="1"/>
  <c r="AP145" i="1"/>
  <c r="AQ145" i="1" s="1"/>
  <c r="AP144" i="1"/>
  <c r="AQ144" i="1" s="1"/>
  <c r="AP143" i="1"/>
  <c r="AQ143" i="1" s="1"/>
  <c r="AP142" i="1"/>
  <c r="AQ142" i="1" s="1"/>
  <c r="AP141" i="1"/>
  <c r="AQ141" i="1" s="1"/>
  <c r="AP140" i="1"/>
  <c r="AP139" i="1"/>
  <c r="AQ139" i="1" s="1"/>
  <c r="AP138" i="1"/>
  <c r="AQ138" i="1" s="1"/>
  <c r="AP137" i="1"/>
  <c r="AQ137" i="1" s="1"/>
  <c r="AP135" i="1"/>
  <c r="AQ135" i="1" s="1"/>
  <c r="AP134" i="1"/>
  <c r="AQ134" i="1" s="1"/>
  <c r="AP133" i="1"/>
  <c r="AQ133" i="1" s="1"/>
  <c r="AP132" i="1"/>
  <c r="AQ132" i="1" s="1"/>
  <c r="AP131" i="1"/>
  <c r="AQ131" i="1" s="1"/>
  <c r="AP130" i="1"/>
  <c r="AQ130" i="1" s="1"/>
  <c r="AP129" i="1"/>
  <c r="AQ129" i="1" s="1"/>
  <c r="AP128" i="1"/>
  <c r="AQ128" i="1" s="1"/>
  <c r="AP127" i="1"/>
  <c r="AQ127" i="1" s="1"/>
  <c r="AP126" i="1"/>
  <c r="AQ126" i="1" s="1"/>
  <c r="AP125" i="1"/>
  <c r="AQ125" i="1" s="1"/>
  <c r="AP124" i="1"/>
  <c r="AQ124" i="1" s="1"/>
  <c r="AP123" i="1"/>
  <c r="AQ123" i="1" s="1"/>
  <c r="AP122" i="1"/>
  <c r="AQ122" i="1" s="1"/>
  <c r="AP121" i="1"/>
  <c r="AQ121" i="1" s="1"/>
  <c r="AP120" i="1"/>
  <c r="AQ120" i="1" s="1"/>
  <c r="AP119" i="1"/>
  <c r="AQ119" i="1" s="1"/>
  <c r="AP118" i="1"/>
  <c r="AQ118" i="1" s="1"/>
  <c r="AP117" i="1"/>
  <c r="AQ117" i="1" s="1"/>
  <c r="AP116" i="1"/>
  <c r="AQ116" i="1" s="1"/>
  <c r="AP114" i="1"/>
  <c r="AQ114" i="1" s="1"/>
  <c r="AP113" i="1"/>
  <c r="AQ113" i="1" s="1"/>
  <c r="AP112" i="1"/>
  <c r="AQ112" i="1" s="1"/>
  <c r="AP111" i="1"/>
  <c r="AQ111" i="1" s="1"/>
  <c r="AP110" i="1"/>
  <c r="AQ110" i="1" s="1"/>
  <c r="AP109" i="1"/>
  <c r="AQ109" i="1" s="1"/>
  <c r="AP108" i="1"/>
  <c r="AQ108" i="1" s="1"/>
  <c r="AP107" i="1"/>
  <c r="AQ107" i="1" s="1"/>
  <c r="AP103" i="1"/>
  <c r="AQ103" i="1" s="1"/>
  <c r="AP102" i="1"/>
  <c r="AQ102" i="1" s="1"/>
  <c r="AP101" i="1"/>
  <c r="AQ101" i="1" s="1"/>
  <c r="AP100" i="1"/>
  <c r="AQ100" i="1" s="1"/>
  <c r="AP99" i="1"/>
  <c r="AQ99" i="1" s="1"/>
  <c r="AP98" i="1"/>
  <c r="AQ98" i="1" s="1"/>
  <c r="AP97" i="1"/>
  <c r="AQ97" i="1" s="1"/>
  <c r="AP95" i="1"/>
  <c r="AQ95" i="1" s="1"/>
  <c r="AP94" i="1"/>
  <c r="AQ94" i="1" s="1"/>
  <c r="AP89" i="1"/>
  <c r="AQ89" i="1" s="1"/>
  <c r="AP88" i="1"/>
  <c r="AQ88" i="1" s="1"/>
  <c r="AP87" i="1"/>
  <c r="AQ87" i="1" s="1"/>
  <c r="AP86" i="1"/>
  <c r="AQ86" i="1" s="1"/>
  <c r="AP85" i="1"/>
  <c r="AQ85" i="1" s="1"/>
  <c r="AP84" i="1"/>
  <c r="AP83" i="1"/>
  <c r="AQ83" i="1" s="1"/>
  <c r="AP82" i="1"/>
  <c r="AQ82" i="1" s="1"/>
  <c r="AP81" i="1"/>
  <c r="AQ81" i="1" s="1"/>
  <c r="AP76" i="1"/>
  <c r="AQ76" i="1" s="1"/>
  <c r="AP75" i="1"/>
  <c r="AQ75" i="1" s="1"/>
  <c r="AP74" i="1"/>
  <c r="AQ74" i="1" s="1"/>
  <c r="AP73" i="1"/>
  <c r="AQ73" i="1" s="1"/>
  <c r="AP72" i="1"/>
  <c r="AQ72" i="1" s="1"/>
  <c r="AP71" i="1"/>
  <c r="AQ71" i="1" s="1"/>
  <c r="AP70" i="1"/>
  <c r="AQ70" i="1" s="1"/>
  <c r="AP69" i="1"/>
  <c r="AQ69" i="1" s="1"/>
  <c r="AP68" i="1"/>
  <c r="AQ68" i="1" s="1"/>
  <c r="AP67" i="1"/>
  <c r="AQ67" i="1" s="1"/>
  <c r="AP66" i="1"/>
  <c r="AQ66" i="1" s="1"/>
  <c r="AP51" i="1"/>
  <c r="AQ51" i="1" s="1"/>
  <c r="AP50" i="1"/>
  <c r="AQ50" i="1" s="1"/>
  <c r="AP43" i="1"/>
  <c r="AQ43" i="1" s="1"/>
  <c r="AP42" i="1"/>
  <c r="AQ42" i="1" s="1"/>
  <c r="AP41" i="1"/>
  <c r="AQ41" i="1" s="1"/>
  <c r="AP40" i="1"/>
  <c r="AQ40" i="1" s="1"/>
  <c r="AP38" i="1"/>
  <c r="AQ38" i="1" s="1"/>
  <c r="AP20" i="1"/>
  <c r="AQ20" i="1" s="1"/>
  <c r="AP19" i="1"/>
  <c r="AQ19" i="1" s="1"/>
  <c r="AP15" i="1"/>
  <c r="AQ15" i="1" s="1"/>
  <c r="AQ14" i="1"/>
  <c r="AP13" i="1"/>
  <c r="AQ13" i="1" s="1"/>
  <c r="AP9" i="1"/>
  <c r="AQ9" i="1" s="1"/>
  <c r="AP7" i="1"/>
  <c r="AQ7" i="1" s="1"/>
  <c r="AP6" i="1"/>
  <c r="AQ6" i="1" s="1"/>
  <c r="AP5" i="1"/>
  <c r="AQ5" i="1" s="1"/>
  <c r="AP136" i="1"/>
  <c r="AQ136" i="1" s="1"/>
  <c r="AQ258" i="1"/>
  <c r="AQ229" i="1"/>
  <c r="AP64" i="1"/>
  <c r="AQ64" i="1" s="1"/>
  <c r="AP191" i="1"/>
  <c r="AQ191" i="1" s="1"/>
  <c r="AL295" i="1"/>
  <c r="AL281" i="1"/>
  <c r="AL269" i="1"/>
  <c r="AL301" i="1" s="1"/>
  <c r="AL266" i="1"/>
  <c r="AL33" i="1" s="1"/>
  <c r="AL213" i="1"/>
  <c r="AL31" i="1" s="1"/>
  <c r="AL198" i="1"/>
  <c r="AL30" i="1" s="1"/>
  <c r="AL187" i="1"/>
  <c r="AL146" i="1"/>
  <c r="AL28" i="1" s="1"/>
  <c r="AP96" i="1"/>
  <c r="AL104" i="1"/>
  <c r="AL90" i="1"/>
  <c r="AL26" i="1" s="1"/>
  <c r="AL77" i="1"/>
  <c r="AL25" i="1" s="1"/>
  <c r="AL52" i="1"/>
  <c r="AL48" i="1"/>
  <c r="AL29" i="1"/>
  <c r="AL21" i="1"/>
  <c r="AL8" i="1"/>
  <c r="AM10" i="1" s="1"/>
  <c r="AW59" i="1"/>
  <c r="AW57" i="1"/>
  <c r="AW56" i="1"/>
  <c r="AV294" i="1"/>
  <c r="AW294" i="1" s="1"/>
  <c r="AV293" i="1"/>
  <c r="AW293" i="1" s="1"/>
  <c r="AV292" i="1"/>
  <c r="AW292" i="1" s="1"/>
  <c r="AV291" i="1"/>
  <c r="AW291" i="1" s="1"/>
  <c r="AV290" i="1"/>
  <c r="AW290" i="1" s="1"/>
  <c r="AV289" i="1"/>
  <c r="AW289" i="1" s="1"/>
  <c r="AV288" i="1"/>
  <c r="AW288" i="1" s="1"/>
  <c r="AV287" i="1"/>
  <c r="AW287" i="1" s="1"/>
  <c r="AV286" i="1"/>
  <c r="AW286" i="1" s="1"/>
  <c r="AV285" i="1"/>
  <c r="AW285" i="1" s="1"/>
  <c r="AV284" i="1"/>
  <c r="AW284" i="1" s="1"/>
  <c r="AV280" i="1"/>
  <c r="AW280" i="1" s="1"/>
  <c r="AV279" i="1"/>
  <c r="AW279" i="1" s="1"/>
  <c r="AV278" i="1"/>
  <c r="AW278" i="1" s="1"/>
  <c r="AV277" i="1"/>
  <c r="AV276" i="1"/>
  <c r="AW276" i="1" s="1"/>
  <c r="AV275" i="1"/>
  <c r="AW275" i="1" s="1"/>
  <c r="AV274" i="1"/>
  <c r="AW274" i="1" s="1"/>
  <c r="AV273" i="1"/>
  <c r="AW273" i="1" s="1"/>
  <c r="AV272" i="1"/>
  <c r="AW272" i="1" s="1"/>
  <c r="AV271" i="1"/>
  <c r="AW271" i="1" s="1"/>
  <c r="AV265" i="1"/>
  <c r="AW265" i="1" s="1"/>
  <c r="AV264" i="1"/>
  <c r="AW264" i="1" s="1"/>
  <c r="AV263" i="1"/>
  <c r="AW263" i="1" s="1"/>
  <c r="AV262" i="1"/>
  <c r="AW262" i="1" s="1"/>
  <c r="AV261" i="1"/>
  <c r="AW261" i="1" s="1"/>
  <c r="AV260" i="1"/>
  <c r="AW260" i="1" s="1"/>
  <c r="AV259" i="1"/>
  <c r="AW259" i="1" s="1"/>
  <c r="AV258" i="1"/>
  <c r="AW258" i="1" s="1"/>
  <c r="AV257" i="1"/>
  <c r="AW257" i="1" s="1"/>
  <c r="AV256" i="1"/>
  <c r="AW256" i="1" s="1"/>
  <c r="AV255" i="1"/>
  <c r="AW255" i="1" s="1"/>
  <c r="AV254" i="1"/>
  <c r="AW254" i="1" s="1"/>
  <c r="AV253" i="1"/>
  <c r="AW253" i="1" s="1"/>
  <c r="AV252" i="1"/>
  <c r="AW252" i="1" s="1"/>
  <c r="AV251" i="1"/>
  <c r="AW251" i="1" s="1"/>
  <c r="AV250" i="1"/>
  <c r="AW250" i="1" s="1"/>
  <c r="AV249" i="1"/>
  <c r="AW249" i="1" s="1"/>
  <c r="AV248" i="1"/>
  <c r="AW248" i="1" s="1"/>
  <c r="AV247" i="1"/>
  <c r="AW247" i="1" s="1"/>
  <c r="AV246" i="1"/>
  <c r="AW246" i="1" s="1"/>
  <c r="AV245" i="1"/>
  <c r="AW245" i="1" s="1"/>
  <c r="AV244" i="1"/>
  <c r="AW244" i="1" s="1"/>
  <c r="AV243" i="1"/>
  <c r="AW243" i="1" s="1"/>
  <c r="AV242" i="1"/>
  <c r="AW242" i="1" s="1"/>
  <c r="AV241" i="1"/>
  <c r="AW241" i="1" s="1"/>
  <c r="AV240" i="1"/>
  <c r="AW240" i="1" s="1"/>
  <c r="AV239" i="1"/>
  <c r="AW239" i="1" s="1"/>
  <c r="AV238" i="1"/>
  <c r="AW238" i="1" s="1"/>
  <c r="AV237" i="1"/>
  <c r="AW237" i="1" s="1"/>
  <c r="AV236" i="1"/>
  <c r="AW236" i="1" s="1"/>
  <c r="AV235" i="1"/>
  <c r="AW235" i="1" s="1"/>
  <c r="AV234" i="1"/>
  <c r="AW234" i="1" s="1"/>
  <c r="AV233" i="1"/>
  <c r="AW233" i="1" s="1"/>
  <c r="AV232" i="1"/>
  <c r="AW232" i="1" s="1"/>
  <c r="AV231" i="1"/>
  <c r="AW231" i="1" s="1"/>
  <c r="AV230" i="1"/>
  <c r="AW230" i="1" s="1"/>
  <c r="AV229" i="1"/>
  <c r="AW229" i="1" s="1"/>
  <c r="AV212" i="1"/>
  <c r="AW212" i="1" s="1"/>
  <c r="AV211" i="1"/>
  <c r="AW211" i="1" s="1"/>
  <c r="AV210" i="1"/>
  <c r="AW210" i="1" s="1"/>
  <c r="AV209" i="1"/>
  <c r="AW209" i="1" s="1"/>
  <c r="AV208" i="1"/>
  <c r="AW208" i="1" s="1"/>
  <c r="AV206" i="1"/>
  <c r="AW206" i="1" s="1"/>
  <c r="AV205" i="1"/>
  <c r="AW205" i="1" s="1"/>
  <c r="AV204" i="1"/>
  <c r="AW204" i="1" s="1"/>
  <c r="AV203" i="1"/>
  <c r="AW203" i="1" s="1"/>
  <c r="AV202" i="1"/>
  <c r="AW202" i="1" s="1"/>
  <c r="AV197" i="1"/>
  <c r="AW197" i="1" s="1"/>
  <c r="AV196" i="1"/>
  <c r="AW196" i="1" s="1"/>
  <c r="AV195" i="1"/>
  <c r="AW195" i="1" s="1"/>
  <c r="AV194" i="1"/>
  <c r="AW194" i="1" s="1"/>
  <c r="AV193" i="1"/>
  <c r="AW193" i="1" s="1"/>
  <c r="AV192" i="1"/>
  <c r="AW192" i="1" s="1"/>
  <c r="AV191" i="1"/>
  <c r="AW191" i="1" s="1"/>
  <c r="AV173" i="1"/>
  <c r="AW173" i="1" s="1"/>
  <c r="AV172" i="1"/>
  <c r="AW172" i="1" s="1"/>
  <c r="AV171" i="1"/>
  <c r="AW171" i="1" s="1"/>
  <c r="AV145" i="1"/>
  <c r="AW145" i="1" s="1"/>
  <c r="AV144" i="1"/>
  <c r="AW144" i="1" s="1"/>
  <c r="AV143" i="1"/>
  <c r="AW143" i="1" s="1"/>
  <c r="AV142" i="1"/>
  <c r="AW142" i="1" s="1"/>
  <c r="AV141" i="1"/>
  <c r="AW141" i="1" s="1"/>
  <c r="AV140" i="1"/>
  <c r="AW140" i="1" s="1"/>
  <c r="AV139" i="1"/>
  <c r="AW139" i="1" s="1"/>
  <c r="AV138" i="1"/>
  <c r="AW138" i="1" s="1"/>
  <c r="AV137" i="1"/>
  <c r="AW137" i="1" s="1"/>
  <c r="AV136" i="1"/>
  <c r="AW136" i="1" s="1"/>
  <c r="AV135" i="1"/>
  <c r="AW135" i="1" s="1"/>
  <c r="AV134" i="1"/>
  <c r="AW134" i="1" s="1"/>
  <c r="AV133" i="1"/>
  <c r="AW133" i="1" s="1"/>
  <c r="AV132" i="1"/>
  <c r="AW132" i="1" s="1"/>
  <c r="AV131" i="1"/>
  <c r="AW131" i="1" s="1"/>
  <c r="AV130" i="1"/>
  <c r="AW130" i="1" s="1"/>
  <c r="AV129" i="1"/>
  <c r="AW129" i="1" s="1"/>
  <c r="AV128" i="1"/>
  <c r="AW128" i="1" s="1"/>
  <c r="AV127" i="1"/>
  <c r="AW127" i="1" s="1"/>
  <c r="AV126" i="1"/>
  <c r="AW126" i="1" s="1"/>
  <c r="AV125" i="1"/>
  <c r="AW125" i="1" s="1"/>
  <c r="AV124" i="1"/>
  <c r="AW124" i="1" s="1"/>
  <c r="AV123" i="1"/>
  <c r="AW123" i="1" s="1"/>
  <c r="AV122" i="1"/>
  <c r="AW122" i="1" s="1"/>
  <c r="AV121" i="1"/>
  <c r="AW121" i="1" s="1"/>
  <c r="AV120" i="1"/>
  <c r="AW120" i="1" s="1"/>
  <c r="AV119" i="1"/>
  <c r="AW119" i="1" s="1"/>
  <c r="AV118" i="1"/>
  <c r="AW118" i="1" s="1"/>
  <c r="AV117" i="1"/>
  <c r="AW117" i="1" s="1"/>
  <c r="AV116" i="1"/>
  <c r="AW116" i="1" s="1"/>
  <c r="AV115" i="1"/>
  <c r="AW115" i="1" s="1"/>
  <c r="AV114" i="1"/>
  <c r="AW114" i="1" s="1"/>
  <c r="AV113" i="1"/>
  <c r="AW113" i="1" s="1"/>
  <c r="AV112" i="1"/>
  <c r="AW112" i="1" s="1"/>
  <c r="AV111" i="1"/>
  <c r="AW111" i="1" s="1"/>
  <c r="AV110" i="1"/>
  <c r="AW110" i="1" s="1"/>
  <c r="AV109" i="1"/>
  <c r="AW109" i="1" s="1"/>
  <c r="AV108" i="1"/>
  <c r="AW108" i="1" s="1"/>
  <c r="AV107" i="1"/>
  <c r="AW107" i="1" s="1"/>
  <c r="AV103" i="1"/>
  <c r="AW103" i="1" s="1"/>
  <c r="AV102" i="1"/>
  <c r="AW102" i="1" s="1"/>
  <c r="AV101" i="1"/>
  <c r="AW101" i="1" s="1"/>
  <c r="AV100" i="1"/>
  <c r="AW100" i="1" s="1"/>
  <c r="AV99" i="1"/>
  <c r="AW99" i="1" s="1"/>
  <c r="AV98" i="1"/>
  <c r="AW98" i="1" s="1"/>
  <c r="AV97" i="1"/>
  <c r="AW97" i="1" s="1"/>
  <c r="AV96" i="1"/>
  <c r="AW96" i="1" s="1"/>
  <c r="AV95" i="1"/>
  <c r="AW95" i="1" s="1"/>
  <c r="AV94" i="1"/>
  <c r="AW94" i="1" s="1"/>
  <c r="AV89" i="1"/>
  <c r="AW89" i="1" s="1"/>
  <c r="AV88" i="1"/>
  <c r="AW88" i="1" s="1"/>
  <c r="AV87" i="1"/>
  <c r="AW87" i="1" s="1"/>
  <c r="AV86" i="1"/>
  <c r="AW86" i="1" s="1"/>
  <c r="AV85" i="1"/>
  <c r="AW85" i="1" s="1"/>
  <c r="AV84" i="1"/>
  <c r="AW84" i="1" s="1"/>
  <c r="AV83" i="1"/>
  <c r="AW83" i="1" s="1"/>
  <c r="AV82" i="1"/>
  <c r="AW82" i="1" s="1"/>
  <c r="AV81" i="1"/>
  <c r="AW81" i="1" s="1"/>
  <c r="AV76" i="1"/>
  <c r="AW76" i="1" s="1"/>
  <c r="AV75" i="1"/>
  <c r="AW75" i="1" s="1"/>
  <c r="AV74" i="1"/>
  <c r="AW74" i="1" s="1"/>
  <c r="AV73" i="1"/>
  <c r="AW73" i="1" s="1"/>
  <c r="AV72" i="1"/>
  <c r="AW72" i="1" s="1"/>
  <c r="AV71" i="1"/>
  <c r="AW71" i="1" s="1"/>
  <c r="AV70" i="1"/>
  <c r="AW70" i="1" s="1"/>
  <c r="AV69" i="1"/>
  <c r="AW69" i="1" s="1"/>
  <c r="AV68" i="1"/>
  <c r="AW68" i="1" s="1"/>
  <c r="AV67" i="1"/>
  <c r="AW67" i="1" s="1"/>
  <c r="AV66" i="1"/>
  <c r="AW66" i="1" s="1"/>
  <c r="AV65" i="1"/>
  <c r="AW65" i="1" s="1"/>
  <c r="AV64" i="1"/>
  <c r="AW64" i="1" s="1"/>
  <c r="AV51" i="1"/>
  <c r="AW51" i="1" s="1"/>
  <c r="AV50" i="1"/>
  <c r="AW50" i="1" s="1"/>
  <c r="AV48" i="1"/>
  <c r="AW48" i="1" s="1"/>
  <c r="AV43" i="1"/>
  <c r="AW43" i="1" s="1"/>
  <c r="AV42" i="1"/>
  <c r="AW42" i="1" s="1"/>
  <c r="AV41" i="1"/>
  <c r="AV40" i="1"/>
  <c r="AW40" i="1" s="1"/>
  <c r="AV38" i="1"/>
  <c r="AW38" i="1" s="1"/>
  <c r="AV20" i="1"/>
  <c r="AW20" i="1" s="1"/>
  <c r="AV19" i="1"/>
  <c r="AW19" i="1" s="1"/>
  <c r="AV18" i="1"/>
  <c r="AW18" i="1" s="1"/>
  <c r="AV15" i="1"/>
  <c r="AW15" i="1" s="1"/>
  <c r="AV14" i="1"/>
  <c r="AW14" i="1" s="1"/>
  <c r="AV13" i="1"/>
  <c r="AV10" i="1"/>
  <c r="AW10" i="1" s="1"/>
  <c r="AV9" i="1"/>
  <c r="AW9" i="1" s="1"/>
  <c r="AV7" i="1"/>
  <c r="AW7" i="1" s="1"/>
  <c r="AV6" i="1"/>
  <c r="AW6" i="1" s="1"/>
  <c r="AV5" i="1"/>
  <c r="AW5" i="1" s="1"/>
  <c r="R295" i="1"/>
  <c r="R281" i="1"/>
  <c r="R269" i="1"/>
  <c r="R301" i="1" s="1"/>
  <c r="R234" i="1"/>
  <c r="R266" i="1" s="1"/>
  <c r="R194" i="1"/>
  <c r="R198" i="1" s="1"/>
  <c r="R187" i="1"/>
  <c r="R138" i="1"/>
  <c r="R110" i="1"/>
  <c r="R99" i="1"/>
  <c r="R104" i="1" s="1"/>
  <c r="R90" i="1"/>
  <c r="R26" i="1" s="1"/>
  <c r="R73" i="1"/>
  <c r="R77" i="1" s="1"/>
  <c r="R25" i="1" s="1"/>
  <c r="R52" i="1"/>
  <c r="R42" i="1"/>
  <c r="R38" i="1"/>
  <c r="R19" i="1"/>
  <c r="R18" i="1"/>
  <c r="R15" i="1"/>
  <c r="R14" i="1"/>
  <c r="R13" i="1"/>
  <c r="R9" i="1"/>
  <c r="R7" i="1"/>
  <c r="R6" i="1"/>
  <c r="AP48" i="1"/>
  <c r="AQ48" i="1" s="1"/>
  <c r="L8" i="1"/>
  <c r="L11" i="1" s="1"/>
  <c r="M229" i="1" s="1"/>
  <c r="J8" i="1"/>
  <c r="J11" i="1" s="1"/>
  <c r="H8" i="1"/>
  <c r="H11" i="1" s="1"/>
  <c r="F8" i="1"/>
  <c r="F11" i="1" s="1"/>
  <c r="D8" i="1"/>
  <c r="D11" i="1" s="1"/>
  <c r="E243" i="1" s="1"/>
  <c r="L127" i="1"/>
  <c r="J127" i="1"/>
  <c r="H127" i="1"/>
  <c r="F127" i="1"/>
  <c r="D127" i="1"/>
  <c r="AD295" i="1"/>
  <c r="AQ271" i="1"/>
  <c r="AQ275" i="1"/>
  <c r="AQ233" i="1"/>
  <c r="AQ293" i="1"/>
  <c r="AQ287" i="1"/>
  <c r="AQ280" i="1"/>
  <c r="AQ279" i="1"/>
  <c r="AQ278" i="1"/>
  <c r="AQ276" i="1"/>
  <c r="AQ273" i="1"/>
  <c r="AQ272" i="1"/>
  <c r="AQ265" i="1"/>
  <c r="AQ264" i="1"/>
  <c r="AQ263" i="1"/>
  <c r="AQ262" i="1"/>
  <c r="AQ260" i="1"/>
  <c r="AQ253" i="1"/>
  <c r="AQ246" i="1"/>
  <c r="AQ244" i="1"/>
  <c r="AQ240" i="1"/>
  <c r="AQ234" i="1"/>
  <c r="AQ232" i="1"/>
  <c r="AQ231" i="1"/>
  <c r="AQ209" i="1"/>
  <c r="AQ208" i="1"/>
  <c r="AQ194" i="1"/>
  <c r="AQ140" i="1"/>
  <c r="AQ115" i="1"/>
  <c r="AQ84" i="1"/>
  <c r="AQ65" i="1"/>
  <c r="AQ18" i="1"/>
  <c r="D15" i="1"/>
  <c r="F15" i="1"/>
  <c r="H15" i="1"/>
  <c r="J15" i="1"/>
  <c r="L15" i="1"/>
  <c r="K9" i="1"/>
  <c r="K8" i="1" s="1"/>
  <c r="K11" i="1" s="1"/>
  <c r="K7" i="1"/>
  <c r="K6" i="1"/>
  <c r="K5" i="1"/>
  <c r="G9" i="1"/>
  <c r="G8" i="1" s="1"/>
  <c r="G11" i="1" s="1"/>
  <c r="G7" i="1"/>
  <c r="G6" i="1"/>
  <c r="G5" i="1"/>
  <c r="M9" i="1"/>
  <c r="M8" i="1" s="1"/>
  <c r="M11" i="1" s="1"/>
  <c r="M6" i="1"/>
  <c r="E9" i="1"/>
  <c r="E8" i="1" s="1"/>
  <c r="E11" i="1" s="1"/>
  <c r="E6" i="1"/>
  <c r="L18" i="1"/>
  <c r="J18" i="1"/>
  <c r="H18" i="1"/>
  <c r="F18" i="1"/>
  <c r="D18" i="1"/>
  <c r="AD21" i="1"/>
  <c r="AD90" i="1"/>
  <c r="AD26" i="1" s="1"/>
  <c r="AH26" i="1" s="1"/>
  <c r="AI26" i="1" s="1"/>
  <c r="AD104" i="1"/>
  <c r="AD27" i="1" s="1"/>
  <c r="AH27" i="1" s="1"/>
  <c r="AI27" i="1" s="1"/>
  <c r="AD146" i="1"/>
  <c r="AD28" i="1" s="1"/>
  <c r="AH28" i="1" s="1"/>
  <c r="AI28" i="1" s="1"/>
  <c r="AD187" i="1"/>
  <c r="AD29" i="1" s="1"/>
  <c r="AH29" i="1" s="1"/>
  <c r="AI29" i="1" s="1"/>
  <c r="AD198" i="1"/>
  <c r="AD30" i="1" s="1"/>
  <c r="AH30" i="1" s="1"/>
  <c r="AI30" i="1" s="1"/>
  <c r="AD213" i="1"/>
  <c r="AD31" i="1" s="1"/>
  <c r="AH31" i="1" s="1"/>
  <c r="AI31" i="1" s="1"/>
  <c r="AD52" i="1"/>
  <c r="J138" i="1"/>
  <c r="H256" i="1"/>
  <c r="D13" i="1"/>
  <c r="D14" i="1"/>
  <c r="D77" i="1"/>
  <c r="D25" i="1" s="1"/>
  <c r="D90" i="1"/>
  <c r="D99" i="1"/>
  <c r="D104" i="1" s="1"/>
  <c r="D146" i="1"/>
  <c r="D28" i="1" s="1"/>
  <c r="D153" i="1"/>
  <c r="D167" i="1" s="1"/>
  <c r="D187" i="1"/>
  <c r="D198" i="1"/>
  <c r="D30" i="1" s="1"/>
  <c r="D204" i="1"/>
  <c r="D213" i="1" s="1"/>
  <c r="D31" i="1" s="1"/>
  <c r="D232" i="1"/>
  <c r="D236" i="1"/>
  <c r="D239" i="1"/>
  <c r="D250" i="1"/>
  <c r="D263" i="1"/>
  <c r="D264" i="1"/>
  <c r="D304" i="1" s="1"/>
  <c r="D265" i="1"/>
  <c r="D305" i="1" s="1"/>
  <c r="D281" i="1"/>
  <c r="D295" i="1"/>
  <c r="D52" i="1"/>
  <c r="F77" i="1"/>
  <c r="F25" i="1" s="1"/>
  <c r="F90" i="1"/>
  <c r="F99" i="1"/>
  <c r="F104" i="1" s="1"/>
  <c r="F27" i="1" s="1"/>
  <c r="F146" i="1"/>
  <c r="F28" i="1" s="1"/>
  <c r="F153" i="1"/>
  <c r="F167" i="1" s="1"/>
  <c r="F187" i="1"/>
  <c r="F198" i="1"/>
  <c r="F30" i="1" s="1"/>
  <c r="F204" i="1"/>
  <c r="F213" i="1" s="1"/>
  <c r="F31" i="1" s="1"/>
  <c r="F232" i="1"/>
  <c r="F236" i="1"/>
  <c r="F239" i="1"/>
  <c r="F260" i="1"/>
  <c r="F263" i="1"/>
  <c r="F303" i="1" s="1"/>
  <c r="F264" i="1"/>
  <c r="F304" i="1" s="1"/>
  <c r="F265" i="1"/>
  <c r="F305" i="1" s="1"/>
  <c r="F281" i="1"/>
  <c r="F295" i="1"/>
  <c r="F52" i="1"/>
  <c r="F149" i="1"/>
  <c r="H77" i="1"/>
  <c r="H25" i="1" s="1"/>
  <c r="H90" i="1"/>
  <c r="H26" i="1" s="1"/>
  <c r="H104" i="1"/>
  <c r="H27" i="1" s="1"/>
  <c r="H146" i="1"/>
  <c r="H28" i="1" s="1"/>
  <c r="H167" i="1"/>
  <c r="H187" i="1"/>
  <c r="H198" i="1"/>
  <c r="H30" i="1" s="1"/>
  <c r="H204" i="1"/>
  <c r="H213" i="1" s="1"/>
  <c r="H235" i="1"/>
  <c r="H236" i="1"/>
  <c r="H239" i="1"/>
  <c r="H260" i="1"/>
  <c r="H263" i="1"/>
  <c r="H303" i="1" s="1"/>
  <c r="H264" i="1"/>
  <c r="H304" i="1" s="1"/>
  <c r="H265" i="1"/>
  <c r="H305" i="1" s="1"/>
  <c r="H281" i="1"/>
  <c r="H295" i="1"/>
  <c r="H52" i="1"/>
  <c r="H149" i="1"/>
  <c r="H269" i="1"/>
  <c r="H301" i="1" s="1"/>
  <c r="J21" i="1"/>
  <c r="J73" i="1"/>
  <c r="J77" i="1" s="1"/>
  <c r="J25" i="1" s="1"/>
  <c r="J90" i="1"/>
  <c r="J26" i="1" s="1"/>
  <c r="J96" i="1"/>
  <c r="J99" i="1"/>
  <c r="J167" i="1"/>
  <c r="J175" i="1"/>
  <c r="J187" i="1" s="1"/>
  <c r="J198" i="1"/>
  <c r="J30" i="1" s="1"/>
  <c r="J213" i="1"/>
  <c r="J31" i="1" s="1"/>
  <c r="J263" i="1"/>
  <c r="J303" i="1" s="1"/>
  <c r="J264" i="1"/>
  <c r="J304" i="1" s="1"/>
  <c r="J265" i="1"/>
  <c r="J305" i="1" s="1"/>
  <c r="J281" i="1"/>
  <c r="J295" i="1"/>
  <c r="J52" i="1"/>
  <c r="J149" i="1"/>
  <c r="J269" i="1"/>
  <c r="J301" i="1" s="1"/>
  <c r="L21" i="1"/>
  <c r="L77" i="1"/>
  <c r="L25" i="1" s="1"/>
  <c r="L90" i="1"/>
  <c r="L26" i="1" s="1"/>
  <c r="M26" i="1" s="1"/>
  <c r="L104" i="1"/>
  <c r="L27" i="1" s="1"/>
  <c r="L146" i="1"/>
  <c r="L28" i="1" s="1"/>
  <c r="L167" i="1"/>
  <c r="L187" i="1"/>
  <c r="L198" i="1"/>
  <c r="L30" i="1" s="1"/>
  <c r="L213" i="1"/>
  <c r="L31" i="1" s="1"/>
  <c r="L260" i="1"/>
  <c r="L263" i="1"/>
  <c r="L264" i="1"/>
  <c r="L304" i="1" s="1"/>
  <c r="L265" i="1"/>
  <c r="L281" i="1"/>
  <c r="L295" i="1"/>
  <c r="L52" i="1"/>
  <c r="L269" i="1"/>
  <c r="L301" i="1" s="1"/>
  <c r="M230" i="1"/>
  <c r="M241" i="1"/>
  <c r="M246" i="1"/>
  <c r="AD269" i="1"/>
  <c r="AD301" i="1" s="1"/>
  <c r="E256" i="1"/>
  <c r="E15" i="1"/>
  <c r="E133" i="1"/>
  <c r="E142" i="1"/>
  <c r="E245" i="1"/>
  <c r="E249" i="1"/>
  <c r="E97" i="1"/>
  <c r="E101" i="1"/>
  <c r="E178" i="1"/>
  <c r="E182" i="1"/>
  <c r="M138" i="1"/>
  <c r="M125" i="1"/>
  <c r="AP281" i="1"/>
  <c r="AD77" i="1"/>
  <c r="AD25" i="1" s="1"/>
  <c r="AH25" i="1" s="1"/>
  <c r="AD8" i="1"/>
  <c r="O39" i="1" l="1"/>
  <c r="Q39" i="1"/>
  <c r="E244" i="1"/>
  <c r="E141" i="1"/>
  <c r="E52" i="1"/>
  <c r="E184" i="1"/>
  <c r="E86" i="1"/>
  <c r="E167" i="1"/>
  <c r="E241" i="1"/>
  <c r="E131" i="1"/>
  <c r="E43" i="1"/>
  <c r="E179" i="1"/>
  <c r="E83" i="1"/>
  <c r="M258" i="1"/>
  <c r="M206" i="1"/>
  <c r="K30" i="1"/>
  <c r="E264" i="1"/>
  <c r="E210" i="1"/>
  <c r="E156" i="1"/>
  <c r="E114" i="1"/>
  <c r="E77" i="1"/>
  <c r="E260" i="1"/>
  <c r="E202" i="1"/>
  <c r="E157" i="1"/>
  <c r="E115" i="1"/>
  <c r="E51" i="1"/>
  <c r="E68" i="1"/>
  <c r="M248" i="1"/>
  <c r="M232" i="1"/>
  <c r="M139" i="1"/>
  <c r="E229" i="1"/>
  <c r="E160" i="1"/>
  <c r="E118" i="1"/>
  <c r="E84" i="1"/>
  <c r="E125" i="1"/>
  <c r="E211" i="1"/>
  <c r="E161" i="1"/>
  <c r="E119" i="1"/>
  <c r="E69" i="1"/>
  <c r="E138" i="1"/>
  <c r="M255" i="1"/>
  <c r="M239" i="1"/>
  <c r="M204" i="1"/>
  <c r="E250" i="1"/>
  <c r="E25" i="1"/>
  <c r="M135" i="1"/>
  <c r="E248" i="1"/>
  <c r="E232" i="1"/>
  <c r="E187" i="1"/>
  <c r="E164" i="1"/>
  <c r="E144" i="1"/>
  <c r="E122" i="1"/>
  <c r="E107" i="1"/>
  <c r="E87" i="1"/>
  <c r="E65" i="1"/>
  <c r="E18" i="1"/>
  <c r="E252" i="1"/>
  <c r="E233" i="1"/>
  <c r="E191" i="1"/>
  <c r="E165" i="1"/>
  <c r="E145" i="1"/>
  <c r="E123" i="1"/>
  <c r="E96" i="1"/>
  <c r="E72" i="1"/>
  <c r="E38" i="1"/>
  <c r="E135" i="1"/>
  <c r="M261" i="1"/>
  <c r="M250" i="1"/>
  <c r="M242" i="1"/>
  <c r="M235" i="1"/>
  <c r="M211" i="1"/>
  <c r="E236" i="1"/>
  <c r="M243" i="1"/>
  <c r="M121" i="1"/>
  <c r="E255" i="1"/>
  <c r="E237" i="1"/>
  <c r="E194" i="1"/>
  <c r="E171" i="1"/>
  <c r="E151" i="1"/>
  <c r="E127" i="1"/>
  <c r="E110" i="1"/>
  <c r="E94" i="1"/>
  <c r="E73" i="1"/>
  <c r="E28" i="1"/>
  <c r="E257" i="1"/>
  <c r="E238" i="1"/>
  <c r="E195" i="1"/>
  <c r="E175" i="1"/>
  <c r="E153" i="1"/>
  <c r="E128" i="1"/>
  <c r="E111" i="1"/>
  <c r="E76" i="1"/>
  <c r="E41" i="1"/>
  <c r="E121" i="1"/>
  <c r="M253" i="1"/>
  <c r="M244" i="1"/>
  <c r="M237" i="1"/>
  <c r="M31" i="1"/>
  <c r="M28" i="1"/>
  <c r="E30" i="1"/>
  <c r="E13" i="1"/>
  <c r="AI25" i="1"/>
  <c r="K25" i="1"/>
  <c r="K31" i="1"/>
  <c r="G31" i="1"/>
  <c r="G30" i="1"/>
  <c r="K26" i="1"/>
  <c r="AW225" i="1"/>
  <c r="AP32" i="1"/>
  <c r="AQ32" i="1" s="1"/>
  <c r="AP8" i="1"/>
  <c r="AQ8" i="1" s="1"/>
  <c r="AV266" i="1"/>
  <c r="AV33" i="1" s="1"/>
  <c r="AW33" i="1" s="1"/>
  <c r="E99" i="1"/>
  <c r="H21" i="1"/>
  <c r="AP213" i="1"/>
  <c r="AQ213" i="1" s="1"/>
  <c r="U6" i="1"/>
  <c r="P31" i="1"/>
  <c r="Q31" i="1" s="1"/>
  <c r="E198" i="1"/>
  <c r="E265" i="1"/>
  <c r="AP295" i="1"/>
  <c r="AQ295" i="1" s="1"/>
  <c r="I6" i="1"/>
  <c r="V11" i="1"/>
  <c r="W9" i="1"/>
  <c r="W8" i="1" s="1"/>
  <c r="W11" i="1" s="1"/>
  <c r="N25" i="1"/>
  <c r="AV295" i="1"/>
  <c r="AW295" i="1" s="1"/>
  <c r="I9" i="1"/>
  <c r="I8" i="1" s="1"/>
  <c r="I11" i="1" s="1"/>
  <c r="AV104" i="1"/>
  <c r="AV27" i="1" s="1"/>
  <c r="AW27" i="1" s="1"/>
  <c r="AP21" i="1"/>
  <c r="AQ21" i="1" s="1"/>
  <c r="U7" i="1"/>
  <c r="U5" i="1"/>
  <c r="T11" i="1"/>
  <c r="U28" i="1" s="1"/>
  <c r="M265" i="1"/>
  <c r="L305" i="1"/>
  <c r="M263" i="1"/>
  <c r="L303" i="1"/>
  <c r="E263" i="1"/>
  <c r="D303" i="1"/>
  <c r="D306" i="1" s="1"/>
  <c r="D307" i="1" s="1"/>
  <c r="D310" i="1" s="1"/>
  <c r="J306" i="1"/>
  <c r="J307" i="1" s="1"/>
  <c r="J310" i="1" s="1"/>
  <c r="H306" i="1"/>
  <c r="H307" i="1" s="1"/>
  <c r="H310" i="1" s="1"/>
  <c r="F306" i="1"/>
  <c r="F307" i="1" s="1"/>
  <c r="F310" i="1" s="1"/>
  <c r="AT54" i="1"/>
  <c r="AU46" i="1"/>
  <c r="AR54" i="1"/>
  <c r="AS46" i="1"/>
  <c r="Y46" i="1"/>
  <c r="X54" i="1"/>
  <c r="AD11" i="1"/>
  <c r="AE229" i="1" s="1"/>
  <c r="AE10" i="1"/>
  <c r="AV213" i="1"/>
  <c r="AV31" i="1" s="1"/>
  <c r="AW31" i="1" s="1"/>
  <c r="AP52" i="1"/>
  <c r="AQ52" i="1" s="1"/>
  <c r="Q104" i="1"/>
  <c r="P27" i="1"/>
  <c r="Q27" i="1" s="1"/>
  <c r="Q146" i="1"/>
  <c r="P28" i="1"/>
  <c r="Q28" i="1" s="1"/>
  <c r="Q25" i="1"/>
  <c r="P34" i="1"/>
  <c r="P36" i="1" s="1"/>
  <c r="Q23" i="1"/>
  <c r="O104" i="1"/>
  <c r="N27" i="1"/>
  <c r="O27" i="1" s="1"/>
  <c r="O25" i="1"/>
  <c r="O23" i="1"/>
  <c r="O146" i="1"/>
  <c r="N28" i="1"/>
  <c r="O28" i="1" s="1"/>
  <c r="U224" i="1"/>
  <c r="U223" i="1"/>
  <c r="U225" i="1"/>
  <c r="W220" i="1"/>
  <c r="W218" i="1"/>
  <c r="W219" i="1"/>
  <c r="W217" i="1"/>
  <c r="G32" i="1"/>
  <c r="K32" i="1"/>
  <c r="E32" i="1"/>
  <c r="I32" i="1"/>
  <c r="M32" i="1"/>
  <c r="W266" i="1"/>
  <c r="J146" i="1"/>
  <c r="J28" i="1" s="1"/>
  <c r="K28" i="1" s="1"/>
  <c r="AV77" i="1"/>
  <c r="AW77" i="1" s="1"/>
  <c r="AV281" i="1"/>
  <c r="AP187" i="1"/>
  <c r="AP29" i="1" s="1"/>
  <c r="AQ29" i="1" s="1"/>
  <c r="AQ281" i="1"/>
  <c r="M256" i="1"/>
  <c r="M134" i="1"/>
  <c r="M136" i="1"/>
  <c r="M174" i="1"/>
  <c r="M132" i="1"/>
  <c r="M137" i="1"/>
  <c r="M68" i="1"/>
  <c r="E261" i="1"/>
  <c r="E258" i="1"/>
  <c r="E253" i="1"/>
  <c r="E246" i="1"/>
  <c r="E242" i="1"/>
  <c r="E239" i="1"/>
  <c r="E235" i="1"/>
  <c r="E230" i="1"/>
  <c r="E212" i="1"/>
  <c r="E209" i="1"/>
  <c r="E203" i="1"/>
  <c r="E196" i="1"/>
  <c r="E192" i="1"/>
  <c r="E185" i="1"/>
  <c r="E180" i="1"/>
  <c r="E176" i="1"/>
  <c r="E166" i="1"/>
  <c r="E162" i="1"/>
  <c r="E158" i="1"/>
  <c r="E154" i="1"/>
  <c r="E146" i="1"/>
  <c r="E129" i="1"/>
  <c r="E124" i="1"/>
  <c r="E116" i="1"/>
  <c r="E112" i="1"/>
  <c r="E108" i="1"/>
  <c r="E103" i="1"/>
  <c r="E98" i="1"/>
  <c r="E95" i="1"/>
  <c r="E89" i="1"/>
  <c r="E85" i="1"/>
  <c r="E82" i="1"/>
  <c r="E75" i="1"/>
  <c r="E71" i="1"/>
  <c r="E67" i="1"/>
  <c r="E64" i="1"/>
  <c r="E50" i="1"/>
  <c r="E20" i="1"/>
  <c r="E14" i="1"/>
  <c r="E134" i="1"/>
  <c r="E136" i="1"/>
  <c r="E259" i="1"/>
  <c r="E254" i="1"/>
  <c r="E251" i="1"/>
  <c r="E247" i="1"/>
  <c r="E240" i="1"/>
  <c r="E231" i="1"/>
  <c r="E213" i="1"/>
  <c r="E204" i="1"/>
  <c r="E197" i="1"/>
  <c r="E193" i="1"/>
  <c r="E186" i="1"/>
  <c r="E181" i="1"/>
  <c r="E177" i="1"/>
  <c r="E163" i="1"/>
  <c r="E159" i="1"/>
  <c r="E155" i="1"/>
  <c r="E150" i="1"/>
  <c r="E143" i="1"/>
  <c r="E140" i="1"/>
  <c r="E130" i="1"/>
  <c r="E126" i="1"/>
  <c r="E120" i="1"/>
  <c r="E117" i="1"/>
  <c r="E113" i="1"/>
  <c r="E109" i="1"/>
  <c r="E102" i="1"/>
  <c r="E88" i="1"/>
  <c r="E81" i="1"/>
  <c r="E74" i="1"/>
  <c r="E70" i="1"/>
  <c r="E66" i="1"/>
  <c r="E48" i="1"/>
  <c r="E42" i="1"/>
  <c r="E40" i="1"/>
  <c r="E19" i="1"/>
  <c r="E174" i="1"/>
  <c r="E132" i="1"/>
  <c r="E137" i="1"/>
  <c r="E139" i="1"/>
  <c r="AV187" i="1"/>
  <c r="M264" i="1"/>
  <c r="M260" i="1"/>
  <c r="M259" i="1"/>
  <c r="M257" i="1"/>
  <c r="M254" i="1"/>
  <c r="M252" i="1"/>
  <c r="M251" i="1"/>
  <c r="M249" i="1"/>
  <c r="M247" i="1"/>
  <c r="M245" i="1"/>
  <c r="M240" i="1"/>
  <c r="M238" i="1"/>
  <c r="M236" i="1"/>
  <c r="M233" i="1"/>
  <c r="M231" i="1"/>
  <c r="M212" i="1"/>
  <c r="M210" i="1"/>
  <c r="M209" i="1"/>
  <c r="M205" i="1"/>
  <c r="M203" i="1"/>
  <c r="M27" i="1"/>
  <c r="M25" i="1"/>
  <c r="E31" i="1"/>
  <c r="I256" i="1"/>
  <c r="E5" i="1"/>
  <c r="E7" i="1"/>
  <c r="I5" i="1"/>
  <c r="I7" i="1"/>
  <c r="M5" i="1"/>
  <c r="M7" i="1"/>
  <c r="AV52" i="1"/>
  <c r="AW52" i="1" s="1"/>
  <c r="R146" i="1"/>
  <c r="R28" i="1" s="1"/>
  <c r="R29" i="1"/>
  <c r="D27" i="1"/>
  <c r="E27" i="1" s="1"/>
  <c r="E104" i="1"/>
  <c r="F21" i="1"/>
  <c r="F23" i="1" s="1"/>
  <c r="F266" i="1"/>
  <c r="F33" i="1" s="1"/>
  <c r="W64" i="1"/>
  <c r="W21" i="1"/>
  <c r="W32" i="1"/>
  <c r="H266" i="1"/>
  <c r="H33" i="1" s="1"/>
  <c r="I33" i="1" s="1"/>
  <c r="H297" i="1"/>
  <c r="H39" i="1" s="1"/>
  <c r="H44" i="1" s="1"/>
  <c r="I44" i="1" s="1"/>
  <c r="F297" i="1"/>
  <c r="F39" i="1" s="1"/>
  <c r="F44" i="1" s="1"/>
  <c r="D21" i="1"/>
  <c r="D23" i="1" s="1"/>
  <c r="U44" i="1"/>
  <c r="W26" i="1"/>
  <c r="W104" i="1"/>
  <c r="M213" i="1"/>
  <c r="AQ96" i="1"/>
  <c r="AP104" i="1"/>
  <c r="AQ104" i="1" s="1"/>
  <c r="L29" i="1"/>
  <c r="M29" i="1" s="1"/>
  <c r="J297" i="1"/>
  <c r="J39" i="1" s="1"/>
  <c r="J266" i="1"/>
  <c r="D297" i="1"/>
  <c r="D39" i="1" s="1"/>
  <c r="D44" i="1" s="1"/>
  <c r="V44" i="1"/>
  <c r="W44" i="1" s="1"/>
  <c r="W39" i="1"/>
  <c r="V34" i="1"/>
  <c r="W25" i="1"/>
  <c r="W30" i="1"/>
  <c r="W27" i="1"/>
  <c r="W213" i="1"/>
  <c r="W31" i="1"/>
  <c r="W28" i="1"/>
  <c r="W265" i="1"/>
  <c r="W263" i="1"/>
  <c r="W261" i="1"/>
  <c r="W258" i="1"/>
  <c r="W256" i="1"/>
  <c r="W253" i="1"/>
  <c r="W250" i="1"/>
  <c r="W248" i="1"/>
  <c r="W246" i="1"/>
  <c r="W244" i="1"/>
  <c r="W242" i="1"/>
  <c r="W241" i="1"/>
  <c r="W239" i="1"/>
  <c r="W237" i="1"/>
  <c r="W235" i="1"/>
  <c r="W233" i="1"/>
  <c r="W231" i="1"/>
  <c r="W212" i="1"/>
  <c r="W210" i="1"/>
  <c r="W208" i="1"/>
  <c r="W205" i="1"/>
  <c r="W202" i="1"/>
  <c r="W196" i="1"/>
  <c r="W194" i="1"/>
  <c r="W191" i="1"/>
  <c r="W173" i="1"/>
  <c r="W171" i="1"/>
  <c r="W144" i="1"/>
  <c r="W141" i="1"/>
  <c r="W138" i="1"/>
  <c r="W134" i="1"/>
  <c r="W132" i="1"/>
  <c r="W130" i="1"/>
  <c r="W128" i="1"/>
  <c r="W126" i="1"/>
  <c r="W124" i="1"/>
  <c r="W122" i="1"/>
  <c r="W120" i="1"/>
  <c r="W119" i="1"/>
  <c r="W117" i="1"/>
  <c r="W115" i="1"/>
  <c r="W113" i="1"/>
  <c r="W111" i="1"/>
  <c r="W109" i="1"/>
  <c r="W103" i="1"/>
  <c r="W101" i="1"/>
  <c r="W99" i="1"/>
  <c r="W98" i="1"/>
  <c r="W97" i="1"/>
  <c r="W95" i="1"/>
  <c r="W94" i="1"/>
  <c r="W88" i="1"/>
  <c r="W86" i="1"/>
  <c r="W83" i="1"/>
  <c r="W81" i="1"/>
  <c r="W75" i="1"/>
  <c r="W73" i="1"/>
  <c r="W72" i="1"/>
  <c r="W70" i="1"/>
  <c r="W69" i="1"/>
  <c r="W68" i="1"/>
  <c r="W66" i="1"/>
  <c r="W52" i="1"/>
  <c r="W51" i="1"/>
  <c r="W48" i="1"/>
  <c r="W43" i="1"/>
  <c r="W38" i="1"/>
  <c r="V23" i="1"/>
  <c r="W19" i="1"/>
  <c r="W18" i="1"/>
  <c r="W15" i="1"/>
  <c r="W14" i="1"/>
  <c r="W13" i="1"/>
  <c r="W264" i="1"/>
  <c r="W262" i="1"/>
  <c r="W260" i="1"/>
  <c r="W259" i="1"/>
  <c r="W257" i="1"/>
  <c r="W255" i="1"/>
  <c r="W254" i="1"/>
  <c r="W252" i="1"/>
  <c r="W251" i="1"/>
  <c r="W249" i="1"/>
  <c r="W247" i="1"/>
  <c r="W245" i="1"/>
  <c r="W243" i="1"/>
  <c r="W240" i="1"/>
  <c r="W238" i="1"/>
  <c r="W236" i="1"/>
  <c r="W234" i="1"/>
  <c r="W232" i="1"/>
  <c r="W230" i="1"/>
  <c r="W229" i="1"/>
  <c r="W211" i="1"/>
  <c r="W209" i="1"/>
  <c r="W206" i="1"/>
  <c r="W204" i="1"/>
  <c r="W203" i="1"/>
  <c r="W198" i="1"/>
  <c r="W197" i="1"/>
  <c r="W195" i="1"/>
  <c r="W193" i="1"/>
  <c r="W192" i="1"/>
  <c r="W187" i="1"/>
  <c r="W172" i="1"/>
  <c r="W145" i="1"/>
  <c r="W143" i="1"/>
  <c r="W142" i="1"/>
  <c r="W140" i="1"/>
  <c r="W139" i="1"/>
  <c r="W136" i="1"/>
  <c r="W135" i="1"/>
  <c r="W133" i="1"/>
  <c r="W131" i="1"/>
  <c r="W129" i="1"/>
  <c r="W127" i="1"/>
  <c r="W125" i="1"/>
  <c r="W123" i="1"/>
  <c r="W121" i="1"/>
  <c r="W118" i="1"/>
  <c r="W116" i="1"/>
  <c r="W114" i="1"/>
  <c r="W112" i="1"/>
  <c r="W110" i="1"/>
  <c r="W108" i="1"/>
  <c r="W107" i="1"/>
  <c r="W102" i="1"/>
  <c r="W100" i="1"/>
  <c r="W96" i="1"/>
  <c r="W89" i="1"/>
  <c r="W87" i="1"/>
  <c r="W85" i="1"/>
  <c r="W84" i="1"/>
  <c r="W82" i="1"/>
  <c r="W76" i="1"/>
  <c r="W74" i="1"/>
  <c r="W71" i="1"/>
  <c r="W67" i="1"/>
  <c r="W65" i="1"/>
  <c r="W50" i="1"/>
  <c r="W42" i="1"/>
  <c r="W41" i="1"/>
  <c r="W40" i="1"/>
  <c r="W20" i="1"/>
  <c r="W90" i="1"/>
  <c r="W29" i="1"/>
  <c r="W146" i="1"/>
  <c r="W77" i="1"/>
  <c r="U263" i="1"/>
  <c r="U253" i="1"/>
  <c r="U243" i="1"/>
  <c r="U234" i="1"/>
  <c r="U211" i="1"/>
  <c r="U202" i="1"/>
  <c r="U173" i="1"/>
  <c r="U138" i="1"/>
  <c r="U130" i="1"/>
  <c r="U121" i="1"/>
  <c r="U112" i="1"/>
  <c r="U101" i="1"/>
  <c r="U95" i="1"/>
  <c r="U83" i="1"/>
  <c r="U72" i="1"/>
  <c r="U66" i="1"/>
  <c r="U43" i="1"/>
  <c r="U264" i="1"/>
  <c r="U257" i="1"/>
  <c r="U251" i="1"/>
  <c r="U242" i="1"/>
  <c r="U235" i="1"/>
  <c r="U210" i="1"/>
  <c r="U197" i="1"/>
  <c r="U172" i="1"/>
  <c r="U140" i="1"/>
  <c r="U133" i="1"/>
  <c r="U124" i="1"/>
  <c r="U117" i="1"/>
  <c r="U109" i="1"/>
  <c r="U96" i="1"/>
  <c r="U84" i="1"/>
  <c r="U71" i="1"/>
  <c r="U50" i="1"/>
  <c r="T33" i="1"/>
  <c r="U33" i="1" s="1"/>
  <c r="AE7" i="1"/>
  <c r="AE5" i="1"/>
  <c r="AV146" i="1"/>
  <c r="AV28" i="1" s="1"/>
  <c r="AD33" i="1"/>
  <c r="AH33" i="1" s="1"/>
  <c r="AI33" i="1" s="1"/>
  <c r="AV90" i="1"/>
  <c r="AW90" i="1" s="1"/>
  <c r="AM5" i="1"/>
  <c r="AL297" i="1"/>
  <c r="AL27" i="1"/>
  <c r="AL34" i="1" s="1"/>
  <c r="AL309" i="1" s="1"/>
  <c r="AM9" i="1"/>
  <c r="AM8" i="1" s="1"/>
  <c r="AM11" i="1" s="1"/>
  <c r="AL11" i="1"/>
  <c r="AL310" i="1" s="1"/>
  <c r="AM6" i="1"/>
  <c r="AM7" i="1"/>
  <c r="AP198" i="1"/>
  <c r="AP90" i="1"/>
  <c r="AQ90" i="1" s="1"/>
  <c r="AV198" i="1"/>
  <c r="AV30" i="1" s="1"/>
  <c r="AV21" i="1"/>
  <c r="AW13" i="1"/>
  <c r="AV8" i="1"/>
  <c r="AD297" i="1"/>
  <c r="AD39" i="1" s="1"/>
  <c r="AP266" i="1"/>
  <c r="AQ266" i="1" s="1"/>
  <c r="L266" i="1"/>
  <c r="AE6" i="1"/>
  <c r="AE9" i="1"/>
  <c r="AE8" i="1" s="1"/>
  <c r="AE11" i="1" s="1"/>
  <c r="AP146" i="1"/>
  <c r="AP28" i="1" s="1"/>
  <c r="AQ28" i="1" s="1"/>
  <c r="AP77" i="1"/>
  <c r="G167" i="1"/>
  <c r="F29" i="1"/>
  <c r="G29" i="1" s="1"/>
  <c r="I13" i="1"/>
  <c r="I15" i="1"/>
  <c r="I19" i="1"/>
  <c r="I21" i="1"/>
  <c r="I40" i="1"/>
  <c r="I41" i="1"/>
  <c r="I42" i="1"/>
  <c r="I48" i="1"/>
  <c r="I51" i="1"/>
  <c r="I64" i="1"/>
  <c r="I65" i="1"/>
  <c r="I67" i="1"/>
  <c r="I71" i="1"/>
  <c r="I73" i="1"/>
  <c r="I75" i="1"/>
  <c r="I77" i="1"/>
  <c r="I82" i="1"/>
  <c r="I84" i="1"/>
  <c r="I85" i="1"/>
  <c r="I87" i="1"/>
  <c r="I89" i="1"/>
  <c r="I94" i="1"/>
  <c r="I95" i="1"/>
  <c r="I97" i="1"/>
  <c r="I98" i="1"/>
  <c r="I101" i="1"/>
  <c r="I103" i="1"/>
  <c r="I107" i="1"/>
  <c r="I108" i="1"/>
  <c r="I110" i="1"/>
  <c r="I112" i="1"/>
  <c r="I114" i="1"/>
  <c r="I116" i="1"/>
  <c r="I118" i="1"/>
  <c r="I122" i="1"/>
  <c r="I124" i="1"/>
  <c r="I127" i="1"/>
  <c r="I129" i="1"/>
  <c r="I131" i="1"/>
  <c r="I141" i="1"/>
  <c r="I144" i="1"/>
  <c r="I146" i="1"/>
  <c r="I151" i="1"/>
  <c r="I154" i="1"/>
  <c r="I156" i="1"/>
  <c r="I158" i="1"/>
  <c r="I160" i="1"/>
  <c r="I162" i="1"/>
  <c r="I164" i="1"/>
  <c r="I166" i="1"/>
  <c r="I171" i="1"/>
  <c r="I176" i="1"/>
  <c r="I178" i="1"/>
  <c r="I180" i="1"/>
  <c r="I182" i="1"/>
  <c r="I184" i="1"/>
  <c r="I186" i="1"/>
  <c r="I191" i="1"/>
  <c r="I193" i="1"/>
  <c r="I195" i="1"/>
  <c r="I197" i="1"/>
  <c r="I202" i="1"/>
  <c r="I204" i="1"/>
  <c r="I211" i="1"/>
  <c r="I229" i="1"/>
  <c r="I230" i="1"/>
  <c r="I232" i="1"/>
  <c r="I235" i="1"/>
  <c r="I237" i="1"/>
  <c r="I239" i="1"/>
  <c r="I241" i="1"/>
  <c r="I242" i="1"/>
  <c r="I244" i="1"/>
  <c r="I246" i="1"/>
  <c r="I248" i="1"/>
  <c r="I250" i="1"/>
  <c r="I253" i="1"/>
  <c r="I255" i="1"/>
  <c r="I258" i="1"/>
  <c r="I261" i="1"/>
  <c r="I264" i="1"/>
  <c r="I139" i="1"/>
  <c r="I137" i="1"/>
  <c r="I132" i="1"/>
  <c r="I174" i="1"/>
  <c r="I125" i="1"/>
  <c r="I14" i="1"/>
  <c r="I18" i="1"/>
  <c r="I20" i="1"/>
  <c r="I38" i="1"/>
  <c r="I43" i="1"/>
  <c r="I50" i="1"/>
  <c r="I52" i="1"/>
  <c r="I66" i="1"/>
  <c r="I69" i="1"/>
  <c r="I70" i="1"/>
  <c r="I72" i="1"/>
  <c r="I74" i="1"/>
  <c r="I76" i="1"/>
  <c r="I81" i="1"/>
  <c r="I83" i="1"/>
  <c r="I86" i="1"/>
  <c r="I88" i="1"/>
  <c r="I90" i="1"/>
  <c r="I96" i="1"/>
  <c r="I99" i="1"/>
  <c r="I102" i="1"/>
  <c r="I104" i="1"/>
  <c r="I109" i="1"/>
  <c r="I111" i="1"/>
  <c r="I113" i="1"/>
  <c r="I115" i="1"/>
  <c r="I117" i="1"/>
  <c r="I119" i="1"/>
  <c r="I120" i="1"/>
  <c r="I123" i="1"/>
  <c r="I126" i="1"/>
  <c r="I128" i="1"/>
  <c r="I130" i="1"/>
  <c r="I133" i="1"/>
  <c r="I140" i="1"/>
  <c r="I142" i="1"/>
  <c r="I143" i="1"/>
  <c r="I145" i="1"/>
  <c r="I150" i="1"/>
  <c r="I153" i="1"/>
  <c r="I155" i="1"/>
  <c r="I157" i="1"/>
  <c r="I159" i="1"/>
  <c r="I161" i="1"/>
  <c r="I163" i="1"/>
  <c r="I165" i="1"/>
  <c r="I167" i="1"/>
  <c r="I175" i="1"/>
  <c r="I177" i="1"/>
  <c r="I179" i="1"/>
  <c r="I181" i="1"/>
  <c r="I183" i="1"/>
  <c r="I185" i="1"/>
  <c r="I187" i="1"/>
  <c r="I192" i="1"/>
  <c r="I194" i="1"/>
  <c r="I196" i="1"/>
  <c r="I198" i="1"/>
  <c r="I203" i="1"/>
  <c r="I209" i="1"/>
  <c r="I210" i="1"/>
  <c r="I212" i="1"/>
  <c r="I231" i="1"/>
  <c r="I233" i="1"/>
  <c r="I236" i="1"/>
  <c r="I238" i="1"/>
  <c r="I240" i="1"/>
  <c r="I243" i="1"/>
  <c r="I245" i="1"/>
  <c r="I247" i="1"/>
  <c r="I249" i="1"/>
  <c r="I251" i="1"/>
  <c r="I252" i="1"/>
  <c r="I254" i="1"/>
  <c r="I257" i="1"/>
  <c r="I259" i="1"/>
  <c r="I260" i="1"/>
  <c r="I263" i="1"/>
  <c r="I265" i="1"/>
  <c r="I25" i="1"/>
  <c r="I68" i="1"/>
  <c r="I138" i="1"/>
  <c r="I135" i="1"/>
  <c r="I121" i="1"/>
  <c r="I136" i="1"/>
  <c r="I134" i="1"/>
  <c r="L33" i="1"/>
  <c r="M33" i="1" s="1"/>
  <c r="M266" i="1"/>
  <c r="D26" i="1"/>
  <c r="E90" i="1"/>
  <c r="G68" i="1"/>
  <c r="G136" i="1"/>
  <c r="G134" i="1"/>
  <c r="G125" i="1"/>
  <c r="G256" i="1"/>
  <c r="G13" i="1"/>
  <c r="G15" i="1"/>
  <c r="G19" i="1"/>
  <c r="G38" i="1"/>
  <c r="G43" i="1"/>
  <c r="G50" i="1"/>
  <c r="G52" i="1"/>
  <c r="G66" i="1"/>
  <c r="G69" i="1"/>
  <c r="G70" i="1"/>
  <c r="G72" i="1"/>
  <c r="G74" i="1"/>
  <c r="G76" i="1"/>
  <c r="G81" i="1"/>
  <c r="G83" i="1"/>
  <c r="G86" i="1"/>
  <c r="G88" i="1"/>
  <c r="G94" i="1"/>
  <c r="G95" i="1"/>
  <c r="G97" i="1"/>
  <c r="G98" i="1"/>
  <c r="G101" i="1"/>
  <c r="G103" i="1"/>
  <c r="G109" i="1"/>
  <c r="G111" i="1"/>
  <c r="G113" i="1"/>
  <c r="G115" i="1"/>
  <c r="G117" i="1"/>
  <c r="G119" i="1"/>
  <c r="G120" i="1"/>
  <c r="G123" i="1"/>
  <c r="G126" i="1"/>
  <c r="G128" i="1"/>
  <c r="G130" i="1"/>
  <c r="G133" i="1"/>
  <c r="G140" i="1"/>
  <c r="G142" i="1"/>
  <c r="G143" i="1"/>
  <c r="G145" i="1"/>
  <c r="G150" i="1"/>
  <c r="G153" i="1"/>
  <c r="G155" i="1"/>
  <c r="G157" i="1"/>
  <c r="G159" i="1"/>
  <c r="G161" i="1"/>
  <c r="G163" i="1"/>
  <c r="G165" i="1"/>
  <c r="G175" i="1"/>
  <c r="G177" i="1"/>
  <c r="G179" i="1"/>
  <c r="G181" i="1"/>
  <c r="G184" i="1"/>
  <c r="G186" i="1"/>
  <c r="G191" i="1"/>
  <c r="G193" i="1"/>
  <c r="G195" i="1"/>
  <c r="G197" i="1"/>
  <c r="G202" i="1"/>
  <c r="G204" i="1"/>
  <c r="G211" i="1"/>
  <c r="G229" i="1"/>
  <c r="G230" i="1"/>
  <c r="G232" i="1"/>
  <c r="G235" i="1"/>
  <c r="G237" i="1"/>
  <c r="G239" i="1"/>
  <c r="G241" i="1"/>
  <c r="G242" i="1"/>
  <c r="G244" i="1"/>
  <c r="G246" i="1"/>
  <c r="G248" i="1"/>
  <c r="G250" i="1"/>
  <c r="G253" i="1"/>
  <c r="G255" i="1"/>
  <c r="G258" i="1"/>
  <c r="G261" i="1"/>
  <c r="G264" i="1"/>
  <c r="G266" i="1"/>
  <c r="G213" i="1"/>
  <c r="G104" i="1"/>
  <c r="G27" i="1"/>
  <c r="G139" i="1"/>
  <c r="G138" i="1"/>
  <c r="G137" i="1"/>
  <c r="G135" i="1"/>
  <c r="G132" i="1"/>
  <c r="G121" i="1"/>
  <c r="G174" i="1"/>
  <c r="G14" i="1"/>
  <c r="G18" i="1"/>
  <c r="G20" i="1"/>
  <c r="G40" i="1"/>
  <c r="G41" i="1"/>
  <c r="G42" i="1"/>
  <c r="G48" i="1"/>
  <c r="G51" i="1"/>
  <c r="G64" i="1"/>
  <c r="G65" i="1"/>
  <c r="G67" i="1"/>
  <c r="G71" i="1"/>
  <c r="G73" i="1"/>
  <c r="G75" i="1"/>
  <c r="G77" i="1"/>
  <c r="G82" i="1"/>
  <c r="G84" i="1"/>
  <c r="G85" i="1"/>
  <c r="G87" i="1"/>
  <c r="G89" i="1"/>
  <c r="G96" i="1"/>
  <c r="G99" i="1"/>
  <c r="G102" i="1"/>
  <c r="G107" i="1"/>
  <c r="G108" i="1"/>
  <c r="G110" i="1"/>
  <c r="G112" i="1"/>
  <c r="G114" i="1"/>
  <c r="G116" i="1"/>
  <c r="G118" i="1"/>
  <c r="G122" i="1"/>
  <c r="G124" i="1"/>
  <c r="G127" i="1"/>
  <c r="G129" i="1"/>
  <c r="G131" i="1"/>
  <c r="G141" i="1"/>
  <c r="G144" i="1"/>
  <c r="G146" i="1"/>
  <c r="G151" i="1"/>
  <c r="G154" i="1"/>
  <c r="G156" i="1"/>
  <c r="G158" i="1"/>
  <c r="G160" i="1"/>
  <c r="G162" i="1"/>
  <c r="G164" i="1"/>
  <c r="G166" i="1"/>
  <c r="G171" i="1"/>
  <c r="G176" i="1"/>
  <c r="G178" i="1"/>
  <c r="G180" i="1"/>
  <c r="G182" i="1"/>
  <c r="G185" i="1"/>
  <c r="G187" i="1"/>
  <c r="G192" i="1"/>
  <c r="G194" i="1"/>
  <c r="G196" i="1"/>
  <c r="G198" i="1"/>
  <c r="G203" i="1"/>
  <c r="G209" i="1"/>
  <c r="G210" i="1"/>
  <c r="G212" i="1"/>
  <c r="G231" i="1"/>
  <c r="G233" i="1"/>
  <c r="G236" i="1"/>
  <c r="G238" i="1"/>
  <c r="G240" i="1"/>
  <c r="G243" i="1"/>
  <c r="G245" i="1"/>
  <c r="G247" i="1"/>
  <c r="G249" i="1"/>
  <c r="G251" i="1"/>
  <c r="G252" i="1"/>
  <c r="G254" i="1"/>
  <c r="G257" i="1"/>
  <c r="G259" i="1"/>
  <c r="G260" i="1"/>
  <c r="G263" i="1"/>
  <c r="G265" i="1"/>
  <c r="G39" i="1"/>
  <c r="I30" i="1"/>
  <c r="I27" i="1"/>
  <c r="I26" i="1"/>
  <c r="H23" i="1"/>
  <c r="I23" i="1" s="1"/>
  <c r="G28" i="1"/>
  <c r="G25" i="1"/>
  <c r="D266" i="1"/>
  <c r="D29" i="1"/>
  <c r="E29" i="1" s="1"/>
  <c r="L297" i="1"/>
  <c r="L39" i="1" s="1"/>
  <c r="J104" i="1"/>
  <c r="K104" i="1" s="1"/>
  <c r="H29" i="1"/>
  <c r="I29" i="1" s="1"/>
  <c r="I28" i="1"/>
  <c r="G33" i="1"/>
  <c r="I213" i="1"/>
  <c r="H31" i="1"/>
  <c r="F26" i="1"/>
  <c r="G90" i="1"/>
  <c r="M14" i="1"/>
  <c r="M18" i="1"/>
  <c r="M20" i="1"/>
  <c r="M40" i="1"/>
  <c r="M41" i="1"/>
  <c r="M42" i="1"/>
  <c r="M48" i="1"/>
  <c r="M51" i="1"/>
  <c r="M64" i="1"/>
  <c r="M65" i="1"/>
  <c r="M67" i="1"/>
  <c r="M71" i="1"/>
  <c r="M73" i="1"/>
  <c r="M75" i="1"/>
  <c r="M77" i="1"/>
  <c r="M82" i="1"/>
  <c r="M84" i="1"/>
  <c r="M85" i="1"/>
  <c r="M87" i="1"/>
  <c r="M89" i="1"/>
  <c r="M94" i="1"/>
  <c r="M95" i="1"/>
  <c r="M97" i="1"/>
  <c r="M98" i="1"/>
  <c r="M101" i="1"/>
  <c r="M103" i="1"/>
  <c r="M107" i="1"/>
  <c r="M108" i="1"/>
  <c r="M110" i="1"/>
  <c r="M112" i="1"/>
  <c r="M114" i="1"/>
  <c r="M116" i="1"/>
  <c r="M118" i="1"/>
  <c r="M122" i="1"/>
  <c r="M124" i="1"/>
  <c r="M127" i="1"/>
  <c r="M129" i="1"/>
  <c r="M131" i="1"/>
  <c r="M141" i="1"/>
  <c r="M144" i="1"/>
  <c r="M146" i="1"/>
  <c r="M151" i="1"/>
  <c r="M154" i="1"/>
  <c r="M156" i="1"/>
  <c r="M158" i="1"/>
  <c r="M160" i="1"/>
  <c r="M162" i="1"/>
  <c r="M164" i="1"/>
  <c r="M166" i="1"/>
  <c r="M171" i="1"/>
  <c r="M176" i="1"/>
  <c r="M178" i="1"/>
  <c r="M180" i="1"/>
  <c r="M182" i="1"/>
  <c r="M184" i="1"/>
  <c r="M186" i="1"/>
  <c r="M191" i="1"/>
  <c r="M193" i="1"/>
  <c r="M195" i="1"/>
  <c r="M197" i="1"/>
  <c r="M202" i="1"/>
  <c r="L23" i="1"/>
  <c r="M13" i="1"/>
  <c r="M15" i="1"/>
  <c r="M19" i="1"/>
  <c r="M21" i="1"/>
  <c r="M30" i="1"/>
  <c r="M38" i="1"/>
  <c r="M43" i="1"/>
  <c r="M50" i="1"/>
  <c r="M52" i="1"/>
  <c r="M66" i="1"/>
  <c r="M69" i="1"/>
  <c r="M70" i="1"/>
  <c r="M72" i="1"/>
  <c r="M74" i="1"/>
  <c r="M76" i="1"/>
  <c r="M81" i="1"/>
  <c r="M83" i="1"/>
  <c r="M86" i="1"/>
  <c r="M88" i="1"/>
  <c r="M90" i="1"/>
  <c r="M96" i="1"/>
  <c r="M99" i="1"/>
  <c r="M102" i="1"/>
  <c r="M104" i="1"/>
  <c r="M109" i="1"/>
  <c r="M111" i="1"/>
  <c r="M113" i="1"/>
  <c r="M115" i="1"/>
  <c r="M117" i="1"/>
  <c r="M119" i="1"/>
  <c r="M120" i="1"/>
  <c r="M123" i="1"/>
  <c r="M126" i="1"/>
  <c r="M128" i="1"/>
  <c r="M130" i="1"/>
  <c r="M133" i="1"/>
  <c r="M140" i="1"/>
  <c r="M142" i="1"/>
  <c r="M143" i="1"/>
  <c r="M145" i="1"/>
  <c r="M150" i="1"/>
  <c r="M153" i="1"/>
  <c r="M155" i="1"/>
  <c r="M157" i="1"/>
  <c r="M159" i="1"/>
  <c r="M161" i="1"/>
  <c r="M163" i="1"/>
  <c r="M165" i="1"/>
  <c r="M167" i="1"/>
  <c r="M175" i="1"/>
  <c r="M177" i="1"/>
  <c r="M179" i="1"/>
  <c r="M181" i="1"/>
  <c r="M183" i="1"/>
  <c r="M185" i="1"/>
  <c r="M187" i="1"/>
  <c r="M192" i="1"/>
  <c r="M194" i="1"/>
  <c r="M196" i="1"/>
  <c r="M198" i="1"/>
  <c r="K187" i="1"/>
  <c r="J29" i="1"/>
  <c r="K29" i="1" s="1"/>
  <c r="K139" i="1"/>
  <c r="K138" i="1"/>
  <c r="K137" i="1"/>
  <c r="K135" i="1"/>
  <c r="K132" i="1"/>
  <c r="K121" i="1"/>
  <c r="K256" i="1"/>
  <c r="K14" i="1"/>
  <c r="K18" i="1"/>
  <c r="K20" i="1"/>
  <c r="K38" i="1"/>
  <c r="K43" i="1"/>
  <c r="K50" i="1"/>
  <c r="K52" i="1"/>
  <c r="K66" i="1"/>
  <c r="K69" i="1"/>
  <c r="K70" i="1"/>
  <c r="K72" i="1"/>
  <c r="K74" i="1"/>
  <c r="K76" i="1"/>
  <c r="K81" i="1"/>
  <c r="K83" i="1"/>
  <c r="K86" i="1"/>
  <c r="K88" i="1"/>
  <c r="K90" i="1"/>
  <c r="K96" i="1"/>
  <c r="K99" i="1"/>
  <c r="K102" i="1"/>
  <c r="K109" i="1"/>
  <c r="K111" i="1"/>
  <c r="K113" i="1"/>
  <c r="K115" i="1"/>
  <c r="K117" i="1"/>
  <c r="K119" i="1"/>
  <c r="K120" i="1"/>
  <c r="K123" i="1"/>
  <c r="K126" i="1"/>
  <c r="K128" i="1"/>
  <c r="K130" i="1"/>
  <c r="K133" i="1"/>
  <c r="K140" i="1"/>
  <c r="K142" i="1"/>
  <c r="K143" i="1"/>
  <c r="K145" i="1"/>
  <c r="K150" i="1"/>
  <c r="K153" i="1"/>
  <c r="K155" i="1"/>
  <c r="K157" i="1"/>
  <c r="K159" i="1"/>
  <c r="K161" i="1"/>
  <c r="K163" i="1"/>
  <c r="K165" i="1"/>
  <c r="K167" i="1"/>
  <c r="K175" i="1"/>
  <c r="K177" i="1"/>
  <c r="K179" i="1"/>
  <c r="K181" i="1"/>
  <c r="K183" i="1"/>
  <c r="K185" i="1"/>
  <c r="K192" i="1"/>
  <c r="K194" i="1"/>
  <c r="K196" i="1"/>
  <c r="K198" i="1"/>
  <c r="K203" i="1"/>
  <c r="K205" i="1"/>
  <c r="K209" i="1"/>
  <c r="K210" i="1"/>
  <c r="K212" i="1"/>
  <c r="K229" i="1"/>
  <c r="K230" i="1"/>
  <c r="K232" i="1"/>
  <c r="K235" i="1"/>
  <c r="K237" i="1"/>
  <c r="K239" i="1"/>
  <c r="K241" i="1"/>
  <c r="K242" i="1"/>
  <c r="K244" i="1"/>
  <c r="K246" i="1"/>
  <c r="K248" i="1"/>
  <c r="K250" i="1"/>
  <c r="K253" i="1"/>
  <c r="K255" i="1"/>
  <c r="K258" i="1"/>
  <c r="K261" i="1"/>
  <c r="K264" i="1"/>
  <c r="K68" i="1"/>
  <c r="K136" i="1"/>
  <c r="K134" i="1"/>
  <c r="K125" i="1"/>
  <c r="K174" i="1"/>
  <c r="J23" i="1"/>
  <c r="K13" i="1"/>
  <c r="K15" i="1"/>
  <c r="K19" i="1"/>
  <c r="K21" i="1"/>
  <c r="K40" i="1"/>
  <c r="K41" i="1"/>
  <c r="K42" i="1"/>
  <c r="K48" i="1"/>
  <c r="K51" i="1"/>
  <c r="K64" i="1"/>
  <c r="K65" i="1"/>
  <c r="K67" i="1"/>
  <c r="K71" i="1"/>
  <c r="K73" i="1"/>
  <c r="K75" i="1"/>
  <c r="K77" i="1"/>
  <c r="K82" i="1"/>
  <c r="K84" i="1"/>
  <c r="K85" i="1"/>
  <c r="K87" i="1"/>
  <c r="K89" i="1"/>
  <c r="K94" i="1"/>
  <c r="K95" i="1"/>
  <c r="K97" i="1"/>
  <c r="K98" i="1"/>
  <c r="K101" i="1"/>
  <c r="K103" i="1"/>
  <c r="K107" i="1"/>
  <c r="K108" i="1"/>
  <c r="K110" i="1"/>
  <c r="K112" i="1"/>
  <c r="K114" i="1"/>
  <c r="K116" i="1"/>
  <c r="K118" i="1"/>
  <c r="K122" i="1"/>
  <c r="K124" i="1"/>
  <c r="K127" i="1"/>
  <c r="K129" i="1"/>
  <c r="K131" i="1"/>
  <c r="K141" i="1"/>
  <c r="K144" i="1"/>
  <c r="K146" i="1"/>
  <c r="K151" i="1"/>
  <c r="K154" i="1"/>
  <c r="K156" i="1"/>
  <c r="K158" i="1"/>
  <c r="K160" i="1"/>
  <c r="K162" i="1"/>
  <c r="K164" i="1"/>
  <c r="K166" i="1"/>
  <c r="K171" i="1"/>
  <c r="K176" i="1"/>
  <c r="K178" i="1"/>
  <c r="K180" i="1"/>
  <c r="K182" i="1"/>
  <c r="K184" i="1"/>
  <c r="K186" i="1"/>
  <c r="K191" i="1"/>
  <c r="K193" i="1"/>
  <c r="K195" i="1"/>
  <c r="K197" i="1"/>
  <c r="K202" i="1"/>
  <c r="K204" i="1"/>
  <c r="K206" i="1"/>
  <c r="K211" i="1"/>
  <c r="K213" i="1"/>
  <c r="K231" i="1"/>
  <c r="K233" i="1"/>
  <c r="K236" i="1"/>
  <c r="K238" i="1"/>
  <c r="K240" i="1"/>
  <c r="K243" i="1"/>
  <c r="K245" i="1"/>
  <c r="K247" i="1"/>
  <c r="K249" i="1"/>
  <c r="K251" i="1"/>
  <c r="K252" i="1"/>
  <c r="K254" i="1"/>
  <c r="K257" i="1"/>
  <c r="K259" i="1"/>
  <c r="K260" i="1"/>
  <c r="K263" i="1"/>
  <c r="K265" i="1"/>
  <c r="R8" i="1"/>
  <c r="S6" i="1" s="1"/>
  <c r="R21" i="1"/>
  <c r="R297" i="1"/>
  <c r="R39" i="1" s="1"/>
  <c r="R44" i="1" s="1"/>
  <c r="R27" i="1"/>
  <c r="R30" i="1"/>
  <c r="R33" i="1"/>
  <c r="R213" i="1"/>
  <c r="S5" i="1"/>
  <c r="I39" i="1" l="1"/>
  <c r="E39" i="1"/>
  <c r="AD44" i="1"/>
  <c r="AE44" i="1" s="1"/>
  <c r="AH39" i="1"/>
  <c r="AH34" i="1"/>
  <c r="AI34" i="1" s="1"/>
  <c r="AE171" i="1"/>
  <c r="AE74" i="1"/>
  <c r="AE263" i="1"/>
  <c r="AE136" i="1"/>
  <c r="AE209" i="1"/>
  <c r="AE21" i="1"/>
  <c r="AE118" i="1"/>
  <c r="AE217" i="1"/>
  <c r="AP11" i="1"/>
  <c r="AP23" i="1" s="1"/>
  <c r="AQ23" i="1" s="1"/>
  <c r="AE237" i="1"/>
  <c r="AE260" i="1"/>
  <c r="AE146" i="1"/>
  <c r="AE213" i="1"/>
  <c r="AE30" i="1"/>
  <c r="AE119" i="1"/>
  <c r="AE256" i="1"/>
  <c r="AE31" i="1"/>
  <c r="AE123" i="1"/>
  <c r="AE90" i="1"/>
  <c r="AE19" i="1"/>
  <c r="AE196" i="1"/>
  <c r="AE250" i="1"/>
  <c r="AE236" i="1"/>
  <c r="AE88" i="1"/>
  <c r="AE129" i="1"/>
  <c r="AE197" i="1"/>
  <c r="AE116" i="1"/>
  <c r="AD23" i="1"/>
  <c r="AE23" i="1" s="1"/>
  <c r="AE192" i="1"/>
  <c r="AE130" i="1"/>
  <c r="AE131" i="1"/>
  <c r="AE66" i="1"/>
  <c r="AE72" i="1"/>
  <c r="AE113" i="1"/>
  <c r="AE141" i="1"/>
  <c r="AE264" i="1"/>
  <c r="AE18" i="1"/>
  <c r="AE52" i="1"/>
  <c r="E44" i="1"/>
  <c r="AE94" i="1"/>
  <c r="AE191" i="1"/>
  <c r="AE232" i="1"/>
  <c r="AE261" i="1"/>
  <c r="AE69" i="1"/>
  <c r="AE48" i="1"/>
  <c r="AE98" i="1"/>
  <c r="AE99" i="1"/>
  <c r="AE25" i="1"/>
  <c r="AE133" i="1"/>
  <c r="AE125" i="1"/>
  <c r="AE101" i="1"/>
  <c r="AE108" i="1"/>
  <c r="AE132" i="1"/>
  <c r="AE239" i="1"/>
  <c r="AE230" i="1"/>
  <c r="AE111" i="1"/>
  <c r="AE75" i="1"/>
  <c r="AE82" i="1"/>
  <c r="AE193" i="1"/>
  <c r="AE102" i="1"/>
  <c r="AE187" i="1"/>
  <c r="AE173" i="1"/>
  <c r="AE172" i="1"/>
  <c r="AE33" i="1"/>
  <c r="AE40" i="1"/>
  <c r="AE135" i="1"/>
  <c r="AE140" i="1"/>
  <c r="AE110" i="1"/>
  <c r="AE81" i="1"/>
  <c r="AE103" i="1"/>
  <c r="AE211" i="1"/>
  <c r="AE117" i="1"/>
  <c r="AE202" i="1"/>
  <c r="AE205" i="1"/>
  <c r="AE221" i="1"/>
  <c r="AE258" i="1"/>
  <c r="AE42" i="1"/>
  <c r="AE120" i="1"/>
  <c r="AE255" i="1"/>
  <c r="AE73" i="1"/>
  <c r="AE124" i="1"/>
  <c r="AE128" i="1"/>
  <c r="AE203" i="1"/>
  <c r="AE247" i="1"/>
  <c r="AE77" i="1"/>
  <c r="AE233" i="1"/>
  <c r="AE65" i="1"/>
  <c r="AE122" i="1"/>
  <c r="AE43" i="1"/>
  <c r="AE208" i="1"/>
  <c r="AE204" i="1"/>
  <c r="AE114" i="1"/>
  <c r="AE245" i="1"/>
  <c r="AE246" i="1"/>
  <c r="AE238" i="1"/>
  <c r="AE86" i="1"/>
  <c r="AE134" i="1"/>
  <c r="AE249" i="1"/>
  <c r="AE85" i="1"/>
  <c r="AE64" i="1"/>
  <c r="AE84" i="1"/>
  <c r="AE252" i="1"/>
  <c r="AE144" i="1"/>
  <c r="AE67" i="1"/>
  <c r="AE234" i="1"/>
  <c r="AE244" i="1"/>
  <c r="AE83" i="1"/>
  <c r="AE257" i="1"/>
  <c r="AE212" i="1"/>
  <c r="AE26" i="1"/>
  <c r="AE28" i="1"/>
  <c r="AE20" i="1"/>
  <c r="AE107" i="1"/>
  <c r="AE138" i="1"/>
  <c r="AE112" i="1"/>
  <c r="AE104" i="1"/>
  <c r="AE96" i="1"/>
  <c r="AE127" i="1"/>
  <c r="AE194" i="1"/>
  <c r="AE29" i="1"/>
  <c r="AE97" i="1"/>
  <c r="AE265" i="1"/>
  <c r="AE210" i="1"/>
  <c r="AE231" i="1"/>
  <c r="AE68" i="1"/>
  <c r="AE95" i="1"/>
  <c r="AE251" i="1"/>
  <c r="AE87" i="1"/>
  <c r="AE240" i="1"/>
  <c r="AE121" i="1"/>
  <c r="AE100" i="1"/>
  <c r="AE198" i="1"/>
  <c r="AE51" i="1"/>
  <c r="AE70" i="1"/>
  <c r="AE14" i="1"/>
  <c r="AE266" i="1"/>
  <c r="AE248" i="1"/>
  <c r="AE115" i="1"/>
  <c r="AE137" i="1"/>
  <c r="AE262" i="1"/>
  <c r="AE254" i="1"/>
  <c r="AE253" i="1"/>
  <c r="AE126" i="1"/>
  <c r="AE259" i="1"/>
  <c r="AE145" i="1"/>
  <c r="AE89" i="1"/>
  <c r="AE219" i="1"/>
  <c r="AW266" i="1"/>
  <c r="AW104" i="1"/>
  <c r="AP31" i="1"/>
  <c r="AQ31" i="1" s="1"/>
  <c r="AQ187" i="1"/>
  <c r="AV297" i="1"/>
  <c r="AW297" i="1" s="1"/>
  <c r="AP27" i="1"/>
  <c r="AQ27" i="1" s="1"/>
  <c r="AV25" i="1"/>
  <c r="AW25" i="1" s="1"/>
  <c r="AE235" i="1"/>
  <c r="AE13" i="1"/>
  <c r="AE139" i="1"/>
  <c r="AE71" i="1"/>
  <c r="AE243" i="1"/>
  <c r="AE15" i="1"/>
  <c r="AE32" i="1"/>
  <c r="AE225" i="1"/>
  <c r="AE222" i="1"/>
  <c r="AE76" i="1"/>
  <c r="AE206" i="1"/>
  <c r="AE241" i="1"/>
  <c r="AE242" i="1"/>
  <c r="AE50" i="1"/>
  <c r="AE41" i="1"/>
  <c r="AE142" i="1"/>
  <c r="AE195" i="1"/>
  <c r="AE109" i="1"/>
  <c r="AE38" i="1"/>
  <c r="AE218" i="1"/>
  <c r="AE224" i="1"/>
  <c r="AE143" i="1"/>
  <c r="AE27" i="1"/>
  <c r="AE223" i="1"/>
  <c r="AE220" i="1"/>
  <c r="AP297" i="1"/>
  <c r="AQ297" i="1" s="1"/>
  <c r="I266" i="1"/>
  <c r="U266" i="1"/>
  <c r="U64" i="1"/>
  <c r="U74" i="1"/>
  <c r="U85" i="1"/>
  <c r="U100" i="1"/>
  <c r="U111" i="1"/>
  <c r="U119" i="1"/>
  <c r="U126" i="1"/>
  <c r="U135" i="1"/>
  <c r="U142" i="1"/>
  <c r="U192" i="1"/>
  <c r="U203" i="1"/>
  <c r="U212" i="1"/>
  <c r="U237" i="1"/>
  <c r="U244" i="1"/>
  <c r="U252" i="1"/>
  <c r="U259" i="1"/>
  <c r="T23" i="1"/>
  <c r="U48" i="1"/>
  <c r="U68" i="1"/>
  <c r="U73" i="1"/>
  <c r="U86" i="1"/>
  <c r="U97" i="1"/>
  <c r="U103" i="1"/>
  <c r="U114" i="1"/>
  <c r="U123" i="1"/>
  <c r="U132" i="1"/>
  <c r="U141" i="1"/>
  <c r="U191" i="1"/>
  <c r="U205" i="1"/>
  <c r="U229" i="1"/>
  <c r="U236" i="1"/>
  <c r="U245" i="1"/>
  <c r="U256" i="1"/>
  <c r="U265" i="1"/>
  <c r="U217" i="1"/>
  <c r="U218" i="1"/>
  <c r="W137" i="1"/>
  <c r="W33" i="1"/>
  <c r="U40" i="1"/>
  <c r="U65" i="1"/>
  <c r="U76" i="1"/>
  <c r="U87" i="1"/>
  <c r="U102" i="1"/>
  <c r="U113" i="1"/>
  <c r="U120" i="1"/>
  <c r="U129" i="1"/>
  <c r="U136" i="1"/>
  <c r="U143" i="1"/>
  <c r="U193" i="1"/>
  <c r="U204" i="1"/>
  <c r="U231" i="1"/>
  <c r="U239" i="1"/>
  <c r="U246" i="1"/>
  <c r="U254" i="1"/>
  <c r="U260" i="1"/>
  <c r="U38" i="1"/>
  <c r="U51" i="1"/>
  <c r="U69" i="1"/>
  <c r="U75" i="1"/>
  <c r="U88" i="1"/>
  <c r="U98" i="1"/>
  <c r="U108" i="1"/>
  <c r="U116" i="1"/>
  <c r="U125" i="1"/>
  <c r="U134" i="1"/>
  <c r="U144" i="1"/>
  <c r="U194" i="1"/>
  <c r="U208" i="1"/>
  <c r="U230" i="1"/>
  <c r="U238" i="1"/>
  <c r="U247" i="1"/>
  <c r="U258" i="1"/>
  <c r="U32" i="1"/>
  <c r="U146" i="1"/>
  <c r="W221" i="1"/>
  <c r="W222" i="1"/>
  <c r="U219" i="1"/>
  <c r="U220" i="1"/>
  <c r="L306" i="1"/>
  <c r="L307" i="1" s="1"/>
  <c r="L310" i="1" s="1"/>
  <c r="T310" i="1"/>
  <c r="U41" i="1"/>
  <c r="U67" i="1"/>
  <c r="U82" i="1"/>
  <c r="U89" i="1"/>
  <c r="U107" i="1"/>
  <c r="U115" i="1"/>
  <c r="U122" i="1"/>
  <c r="U131" i="1"/>
  <c r="U139" i="1"/>
  <c r="U145" i="1"/>
  <c r="U195" i="1"/>
  <c r="U206" i="1"/>
  <c r="U233" i="1"/>
  <c r="U241" i="1"/>
  <c r="U248" i="1"/>
  <c r="U255" i="1"/>
  <c r="U262" i="1"/>
  <c r="U42" i="1"/>
  <c r="U52" i="1"/>
  <c r="U70" i="1"/>
  <c r="U81" i="1"/>
  <c r="U94" i="1"/>
  <c r="U99" i="1"/>
  <c r="U110" i="1"/>
  <c r="U118" i="1"/>
  <c r="U128" i="1"/>
  <c r="U137" i="1"/>
  <c r="U171" i="1"/>
  <c r="U196" i="1"/>
  <c r="U209" i="1"/>
  <c r="U232" i="1"/>
  <c r="U240" i="1"/>
  <c r="U249" i="1"/>
  <c r="U261" i="1"/>
  <c r="U104" i="1"/>
  <c r="W225" i="1"/>
  <c r="W223" i="1"/>
  <c r="W224" i="1"/>
  <c r="U221" i="1"/>
  <c r="U222" i="1"/>
  <c r="V310" i="1"/>
  <c r="AD310" i="1"/>
  <c r="AE207" i="1"/>
  <c r="AE17" i="1"/>
  <c r="AE16" i="1"/>
  <c r="U27" i="1"/>
  <c r="U31" i="1"/>
  <c r="U39" i="1"/>
  <c r="U15" i="1"/>
  <c r="U29" i="1"/>
  <c r="U127" i="1"/>
  <c r="U250" i="1"/>
  <c r="U14" i="1"/>
  <c r="U20" i="1"/>
  <c r="U30" i="1"/>
  <c r="U187" i="1"/>
  <c r="U13" i="1"/>
  <c r="U21" i="1"/>
  <c r="U19" i="1"/>
  <c r="U77" i="1"/>
  <c r="U198" i="1"/>
  <c r="U213" i="1"/>
  <c r="U18" i="1"/>
  <c r="U26" i="1"/>
  <c r="U90" i="1"/>
  <c r="U25" i="1"/>
  <c r="W34" i="1"/>
  <c r="V309" i="1"/>
  <c r="Q34" i="1"/>
  <c r="P309" i="1"/>
  <c r="AM207" i="1"/>
  <c r="AM17" i="1"/>
  <c r="AM16" i="1"/>
  <c r="AT60" i="1"/>
  <c r="AU54" i="1"/>
  <c r="AR60" i="1"/>
  <c r="AS54" i="1"/>
  <c r="Y54" i="1"/>
  <c r="X60" i="1"/>
  <c r="AW281" i="1"/>
  <c r="AW213" i="1"/>
  <c r="AD34" i="1"/>
  <c r="AW146" i="1"/>
  <c r="P46" i="1"/>
  <c r="Q36" i="1"/>
  <c r="N34" i="1"/>
  <c r="N309" i="1" s="1"/>
  <c r="AM223" i="1"/>
  <c r="AM224" i="1"/>
  <c r="AM222" i="1"/>
  <c r="AM221" i="1"/>
  <c r="AM220" i="1"/>
  <c r="AM219" i="1"/>
  <c r="AM218" i="1"/>
  <c r="AM217" i="1"/>
  <c r="AM225" i="1"/>
  <c r="E21" i="1"/>
  <c r="E23" i="1" s="1"/>
  <c r="L34" i="1"/>
  <c r="L36" i="1" s="1"/>
  <c r="G44" i="1"/>
  <c r="R11" i="1"/>
  <c r="R310" i="1" s="1"/>
  <c r="S9" i="1"/>
  <c r="S8" i="1" s="1"/>
  <c r="S11" i="1" s="1"/>
  <c r="AW187" i="1"/>
  <c r="AV29" i="1"/>
  <c r="AW29" i="1" s="1"/>
  <c r="J27" i="1"/>
  <c r="S29" i="1"/>
  <c r="AM146" i="1"/>
  <c r="AM32" i="1"/>
  <c r="T34" i="1"/>
  <c r="S18" i="1"/>
  <c r="S7" i="1"/>
  <c r="S14" i="1"/>
  <c r="AW198" i="1"/>
  <c r="J33" i="1"/>
  <c r="K33" i="1" s="1"/>
  <c r="K266" i="1"/>
  <c r="J44" i="1"/>
  <c r="K44" i="1" s="1"/>
  <c r="K39" i="1"/>
  <c r="V36" i="1"/>
  <c r="W23" i="1"/>
  <c r="U23" i="1"/>
  <c r="AV26" i="1"/>
  <c r="AL39" i="1"/>
  <c r="AL44" i="1" s="1"/>
  <c r="AM44" i="1" s="1"/>
  <c r="AM34" i="1"/>
  <c r="AM266" i="1"/>
  <c r="AM96" i="1"/>
  <c r="AM213" i="1"/>
  <c r="AM264" i="1"/>
  <c r="AM262" i="1"/>
  <c r="AM260" i="1"/>
  <c r="AM259" i="1"/>
  <c r="AM257" i="1"/>
  <c r="AM255" i="1"/>
  <c r="AM254" i="1"/>
  <c r="AM252" i="1"/>
  <c r="AM251" i="1"/>
  <c r="AM249" i="1"/>
  <c r="AM247" i="1"/>
  <c r="AM245" i="1"/>
  <c r="AM243" i="1"/>
  <c r="AM240" i="1"/>
  <c r="AM238" i="1"/>
  <c r="AM236" i="1"/>
  <c r="AM234" i="1"/>
  <c r="AM232" i="1"/>
  <c r="AM230" i="1"/>
  <c r="AM229" i="1"/>
  <c r="AM212" i="1"/>
  <c r="AM210" i="1"/>
  <c r="AM208" i="1"/>
  <c r="AM205" i="1"/>
  <c r="AM202" i="1"/>
  <c r="AM197" i="1"/>
  <c r="AM195" i="1"/>
  <c r="AM193" i="1"/>
  <c r="AM192" i="1"/>
  <c r="AM173" i="1"/>
  <c r="AM171" i="1"/>
  <c r="AM145" i="1"/>
  <c r="AM143" i="1"/>
  <c r="AM142" i="1"/>
  <c r="AM140" i="1"/>
  <c r="AM139" i="1"/>
  <c r="AM137" i="1"/>
  <c r="AM134" i="1"/>
  <c r="AM132" i="1"/>
  <c r="AM130" i="1"/>
  <c r="AM128" i="1"/>
  <c r="AM126" i="1"/>
  <c r="AM124" i="1"/>
  <c r="AM122" i="1"/>
  <c r="AM120" i="1"/>
  <c r="AM119" i="1"/>
  <c r="AM117" i="1"/>
  <c r="AM115" i="1"/>
  <c r="AM113" i="1"/>
  <c r="AM111" i="1"/>
  <c r="AM109" i="1"/>
  <c r="AM103" i="1"/>
  <c r="AM101" i="1"/>
  <c r="AM99" i="1"/>
  <c r="AM88" i="1"/>
  <c r="AM86" i="1"/>
  <c r="AM83" i="1"/>
  <c r="AM81" i="1"/>
  <c r="AM76" i="1"/>
  <c r="AM74" i="1"/>
  <c r="AM72" i="1"/>
  <c r="AM70" i="1"/>
  <c r="AM69" i="1"/>
  <c r="AM68" i="1"/>
  <c r="AM66" i="1"/>
  <c r="AM265" i="1"/>
  <c r="AM263" i="1"/>
  <c r="AM261" i="1"/>
  <c r="AM258" i="1"/>
  <c r="AM256" i="1"/>
  <c r="AM253" i="1"/>
  <c r="AM250" i="1"/>
  <c r="AM248" i="1"/>
  <c r="AM246" i="1"/>
  <c r="AM244" i="1"/>
  <c r="AM242" i="1"/>
  <c r="AM241" i="1"/>
  <c r="AM239" i="1"/>
  <c r="AM237" i="1"/>
  <c r="AM235" i="1"/>
  <c r="AM233" i="1"/>
  <c r="AM231" i="1"/>
  <c r="AM211" i="1"/>
  <c r="AM209" i="1"/>
  <c r="AM206" i="1"/>
  <c r="AM204" i="1"/>
  <c r="AM203" i="1"/>
  <c r="AM196" i="1"/>
  <c r="AM194" i="1"/>
  <c r="AM191" i="1"/>
  <c r="AM172" i="1"/>
  <c r="AM144" i="1"/>
  <c r="AM141" i="1"/>
  <c r="AM138" i="1"/>
  <c r="AM136" i="1"/>
  <c r="AM135" i="1"/>
  <c r="AM133" i="1"/>
  <c r="AM131" i="1"/>
  <c r="AM129" i="1"/>
  <c r="AM127" i="1"/>
  <c r="AM125" i="1"/>
  <c r="AM123" i="1"/>
  <c r="AM121" i="1"/>
  <c r="AM118" i="1"/>
  <c r="AM116" i="1"/>
  <c r="AM114" i="1"/>
  <c r="AM112" i="1"/>
  <c r="AM110" i="1"/>
  <c r="AM108" i="1"/>
  <c r="AM107" i="1"/>
  <c r="AM102" i="1"/>
  <c r="AM100" i="1"/>
  <c r="AM98" i="1"/>
  <c r="AM97" i="1"/>
  <c r="AM94" i="1"/>
  <c r="AM89" i="1"/>
  <c r="AM87" i="1"/>
  <c r="AM85" i="1"/>
  <c r="AM84" i="1"/>
  <c r="AM82" i="1"/>
  <c r="AM75" i="1"/>
  <c r="AM73" i="1"/>
  <c r="AM71" i="1"/>
  <c r="AM67" i="1"/>
  <c r="AM65" i="1"/>
  <c r="AM64" i="1"/>
  <c r="S30" i="1"/>
  <c r="AM95" i="1"/>
  <c r="AM104" i="1"/>
  <c r="AM187" i="1"/>
  <c r="AM90" i="1"/>
  <c r="AM198" i="1"/>
  <c r="AM77" i="1"/>
  <c r="AM50" i="1"/>
  <c r="AM42" i="1"/>
  <c r="AM41" i="1"/>
  <c r="AM40" i="1"/>
  <c r="AM33" i="1"/>
  <c r="AM31" i="1"/>
  <c r="AM30" i="1"/>
  <c r="AM20" i="1"/>
  <c r="AM18" i="1"/>
  <c r="AM14" i="1"/>
  <c r="AM52" i="1"/>
  <c r="AM51" i="1"/>
  <c r="AM48" i="1"/>
  <c r="AM43" i="1"/>
  <c r="AM38" i="1"/>
  <c r="AL23" i="1"/>
  <c r="AM19" i="1"/>
  <c r="AM15" i="1"/>
  <c r="AM13" i="1"/>
  <c r="AM28" i="1"/>
  <c r="AM21" i="1"/>
  <c r="AM29" i="1"/>
  <c r="AM25" i="1"/>
  <c r="AM26" i="1"/>
  <c r="AM27" i="1"/>
  <c r="AQ198" i="1"/>
  <c r="AP30" i="1"/>
  <c r="AQ30" i="1" s="1"/>
  <c r="AP26" i="1"/>
  <c r="AQ26" i="1" s="1"/>
  <c r="AV39" i="1"/>
  <c r="AW39" i="1" s="1"/>
  <c r="AW28" i="1"/>
  <c r="AW21" i="1"/>
  <c r="AE39" i="1"/>
  <c r="AW8" i="1"/>
  <c r="AV11" i="1"/>
  <c r="AP33" i="1"/>
  <c r="AQ33" i="1" s="1"/>
  <c r="S146" i="1"/>
  <c r="AQ146" i="1"/>
  <c r="AQ77" i="1"/>
  <c r="AP25" i="1"/>
  <c r="M39" i="1"/>
  <c r="L44" i="1"/>
  <c r="M44" i="1" s="1"/>
  <c r="D33" i="1"/>
  <c r="E33" i="1" s="1"/>
  <c r="E266" i="1"/>
  <c r="E26" i="1"/>
  <c r="S27" i="1"/>
  <c r="G21" i="1"/>
  <c r="G23" i="1" s="1"/>
  <c r="K23" i="1"/>
  <c r="M23" i="1"/>
  <c r="I31" i="1"/>
  <c r="H34" i="1"/>
  <c r="H309" i="1" s="1"/>
  <c r="K27" i="1"/>
  <c r="G26" i="1"/>
  <c r="G34" i="1" s="1"/>
  <c r="F34" i="1"/>
  <c r="S262" i="1"/>
  <c r="S255" i="1"/>
  <c r="S249" i="1"/>
  <c r="S240" i="1"/>
  <c r="S233" i="1"/>
  <c r="S208" i="1"/>
  <c r="S197" i="1"/>
  <c r="S171" i="1"/>
  <c r="S137" i="1"/>
  <c r="S128" i="1"/>
  <c r="S120" i="1"/>
  <c r="S113" i="1"/>
  <c r="S102" i="1"/>
  <c r="S87" i="1"/>
  <c r="S76" i="1"/>
  <c r="S65" i="1"/>
  <c r="S265" i="1"/>
  <c r="S256" i="1"/>
  <c r="S246" i="1"/>
  <c r="S239" i="1"/>
  <c r="S230" i="1"/>
  <c r="S205" i="1"/>
  <c r="S193" i="1"/>
  <c r="S143" i="1"/>
  <c r="S136" i="1"/>
  <c r="S129" i="1"/>
  <c r="S121" i="1"/>
  <c r="S112" i="1"/>
  <c r="S98" i="1"/>
  <c r="S88" i="1"/>
  <c r="S75" i="1"/>
  <c r="S69" i="1"/>
  <c r="S41" i="1"/>
  <c r="R31" i="1"/>
  <c r="J34" i="1" l="1"/>
  <c r="AH44" i="1"/>
  <c r="AI44" i="1" s="1"/>
  <c r="AI39" i="1"/>
  <c r="AH36" i="1"/>
  <c r="AQ11" i="1"/>
  <c r="E34" i="1"/>
  <c r="E36" i="1" s="1"/>
  <c r="E46" i="1" s="1"/>
  <c r="S213" i="1"/>
  <c r="S81" i="1"/>
  <c r="S114" i="1"/>
  <c r="S139" i="1"/>
  <c r="S232" i="1"/>
  <c r="S20" i="1"/>
  <c r="S107" i="1"/>
  <c r="S130" i="1"/>
  <c r="S203" i="1"/>
  <c r="S243" i="1"/>
  <c r="S264" i="1"/>
  <c r="S19" i="1"/>
  <c r="S187" i="1"/>
  <c r="S25" i="1"/>
  <c r="S48" i="1"/>
  <c r="S21" i="1"/>
  <c r="S39" i="1"/>
  <c r="S70" i="1"/>
  <c r="S101" i="1"/>
  <c r="S131" i="1"/>
  <c r="S194" i="1"/>
  <c r="S241" i="1"/>
  <c r="S258" i="1"/>
  <c r="S82" i="1"/>
  <c r="S115" i="1"/>
  <c r="S138" i="1"/>
  <c r="S234" i="1"/>
  <c r="S257" i="1"/>
  <c r="S44" i="1"/>
  <c r="R23" i="1"/>
  <c r="S23" i="1" s="1"/>
  <c r="S66" i="1"/>
  <c r="S72" i="1"/>
  <c r="S83" i="1"/>
  <c r="S95" i="1"/>
  <c r="S103" i="1"/>
  <c r="S116" i="1"/>
  <c r="S125" i="1"/>
  <c r="S133" i="1"/>
  <c r="S140" i="1"/>
  <c r="S172" i="1"/>
  <c r="S196" i="1"/>
  <c r="S211" i="1"/>
  <c r="S235" i="1"/>
  <c r="S242" i="1"/>
  <c r="S250" i="1"/>
  <c r="S261" i="1"/>
  <c r="S51" i="1"/>
  <c r="S71" i="1"/>
  <c r="S84" i="1"/>
  <c r="S96" i="1"/>
  <c r="S108" i="1"/>
  <c r="S117" i="1"/>
  <c r="S124" i="1"/>
  <c r="S132" i="1"/>
  <c r="S141" i="1"/>
  <c r="S191" i="1"/>
  <c r="S204" i="1"/>
  <c r="S212" i="1"/>
  <c r="S236" i="1"/>
  <c r="S245" i="1"/>
  <c r="S252" i="1"/>
  <c r="S259" i="1"/>
  <c r="S43" i="1"/>
  <c r="S15" i="1"/>
  <c r="S26" i="1"/>
  <c r="S198" i="1"/>
  <c r="S42" i="1"/>
  <c r="S13" i="1"/>
  <c r="S38" i="1"/>
  <c r="S90" i="1"/>
  <c r="S50" i="1"/>
  <c r="S94" i="1"/>
  <c r="S123" i="1"/>
  <c r="S145" i="1"/>
  <c r="S209" i="1"/>
  <c r="S248" i="1"/>
  <c r="S67" i="1"/>
  <c r="S89" i="1"/>
  <c r="S122" i="1"/>
  <c r="S173" i="1"/>
  <c r="S210" i="1"/>
  <c r="S251" i="1"/>
  <c r="S104" i="1"/>
  <c r="S40" i="1"/>
  <c r="S68" i="1"/>
  <c r="S73" i="1"/>
  <c r="S86" i="1"/>
  <c r="S97" i="1"/>
  <c r="S109" i="1"/>
  <c r="S118" i="1"/>
  <c r="S127" i="1"/>
  <c r="S135" i="1"/>
  <c r="S142" i="1"/>
  <c r="S192" i="1"/>
  <c r="S202" i="1"/>
  <c r="S229" i="1"/>
  <c r="S237" i="1"/>
  <c r="S244" i="1"/>
  <c r="S253" i="1"/>
  <c r="S263" i="1"/>
  <c r="S64" i="1"/>
  <c r="S74" i="1"/>
  <c r="S85" i="1"/>
  <c r="S100" i="1"/>
  <c r="S111" i="1"/>
  <c r="S119" i="1"/>
  <c r="S126" i="1"/>
  <c r="S134" i="1"/>
  <c r="S144" i="1"/>
  <c r="S195" i="1"/>
  <c r="S206" i="1"/>
  <c r="S231" i="1"/>
  <c r="S238" i="1"/>
  <c r="S247" i="1"/>
  <c r="S254" i="1"/>
  <c r="S260" i="1"/>
  <c r="S77" i="1"/>
  <c r="S52" i="1"/>
  <c r="S28" i="1"/>
  <c r="S266" i="1"/>
  <c r="S110" i="1"/>
  <c r="AD36" i="1"/>
  <c r="AE36" i="1" s="1"/>
  <c r="AD309" i="1"/>
  <c r="U34" i="1"/>
  <c r="T309" i="1"/>
  <c r="M34" i="1"/>
  <c r="L309" i="1"/>
  <c r="K34" i="1"/>
  <c r="J309" i="1"/>
  <c r="F36" i="1"/>
  <c r="F46" i="1" s="1"/>
  <c r="F54" i="1" s="1"/>
  <c r="G54" i="1" s="1"/>
  <c r="F309" i="1"/>
  <c r="AE34" i="1"/>
  <c r="P54" i="1"/>
  <c r="Q46" i="1"/>
  <c r="O34" i="1"/>
  <c r="N36" i="1"/>
  <c r="S33" i="1"/>
  <c r="T36" i="1"/>
  <c r="U36" i="1" s="1"/>
  <c r="S32" i="1"/>
  <c r="S99" i="1"/>
  <c r="G36" i="1"/>
  <c r="G46" i="1" s="1"/>
  <c r="V46" i="1"/>
  <c r="W36" i="1"/>
  <c r="D34" i="1"/>
  <c r="AW26" i="1"/>
  <c r="AV34" i="1"/>
  <c r="AP39" i="1"/>
  <c r="AQ39" i="1" s="1"/>
  <c r="AM39" i="1"/>
  <c r="AM23" i="1"/>
  <c r="AL36" i="1"/>
  <c r="AW30" i="1"/>
  <c r="AW11" i="1"/>
  <c r="AV23" i="1"/>
  <c r="AQ25" i="1"/>
  <c r="AP34" i="1"/>
  <c r="I34" i="1"/>
  <c r="H36" i="1"/>
  <c r="L46" i="1"/>
  <c r="M36" i="1"/>
  <c r="J36" i="1"/>
  <c r="AV44" i="1"/>
  <c r="AW44" i="1" s="1"/>
  <c r="S31" i="1"/>
  <c r="R34" i="1"/>
  <c r="AH46" i="1" l="1"/>
  <c r="AH54" i="1" s="1"/>
  <c r="AI36" i="1"/>
  <c r="AD46" i="1"/>
  <c r="AD54" i="1" s="1"/>
  <c r="AD60" i="1" s="1"/>
  <c r="S34" i="1"/>
  <c r="R309" i="1"/>
  <c r="D36" i="1"/>
  <c r="D46" i="1" s="1"/>
  <c r="D54" i="1" s="1"/>
  <c r="E54" i="1" s="1"/>
  <c r="D309" i="1"/>
  <c r="P60" i="1"/>
  <c r="Q54" i="1"/>
  <c r="N46" i="1"/>
  <c r="O36" i="1"/>
  <c r="T46" i="1"/>
  <c r="T54" i="1" s="1"/>
  <c r="V54" i="1"/>
  <c r="W46" i="1"/>
  <c r="AP44" i="1"/>
  <c r="AQ44" i="1" s="1"/>
  <c r="AM36" i="1"/>
  <c r="AL46" i="1"/>
  <c r="AW34" i="1"/>
  <c r="AW23" i="1"/>
  <c r="AV36" i="1"/>
  <c r="AW36" i="1" s="1"/>
  <c r="AQ34" i="1"/>
  <c r="AP36" i="1"/>
  <c r="K36" i="1"/>
  <c r="J46" i="1"/>
  <c r="L54" i="1"/>
  <c r="M54" i="1" s="1"/>
  <c r="M46" i="1"/>
  <c r="I36" i="1"/>
  <c r="H46" i="1"/>
  <c r="R36" i="1"/>
  <c r="R46" i="1" s="1"/>
  <c r="AI46" i="1" l="1"/>
  <c r="AE46" i="1"/>
  <c r="AE54" i="1"/>
  <c r="N54" i="1"/>
  <c r="O46" i="1"/>
  <c r="U46" i="1"/>
  <c r="S36" i="1"/>
  <c r="W54" i="1"/>
  <c r="V60" i="1"/>
  <c r="T60" i="1"/>
  <c r="U54" i="1"/>
  <c r="AV46" i="1"/>
  <c r="AW46" i="1" s="1"/>
  <c r="AL54" i="1"/>
  <c r="AM54" i="1" s="1"/>
  <c r="AM46" i="1"/>
  <c r="AP46" i="1"/>
  <c r="AQ36" i="1"/>
  <c r="H54" i="1"/>
  <c r="I54" i="1" s="1"/>
  <c r="I46" i="1"/>
  <c r="J54" i="1"/>
  <c r="K54" i="1" s="1"/>
  <c r="K46" i="1"/>
  <c r="R54" i="1"/>
  <c r="S46" i="1"/>
  <c r="N60" i="1" l="1"/>
  <c r="O54" i="1"/>
  <c r="AV54" i="1"/>
  <c r="AQ46" i="1"/>
  <c r="AP54" i="1"/>
  <c r="S54" i="1"/>
  <c r="R60" i="1"/>
  <c r="AW54" i="1" l="1"/>
  <c r="AV60" i="1"/>
  <c r="AW60" i="1" s="1"/>
</calcChain>
</file>

<file path=xl/sharedStrings.xml><?xml version="1.0" encoding="utf-8"?>
<sst xmlns="http://schemas.openxmlformats.org/spreadsheetml/2006/main" count="575" uniqueCount="390">
  <si>
    <t>09810</t>
  </si>
  <si>
    <t>09900</t>
  </si>
  <si>
    <t>09950</t>
  </si>
  <si>
    <t>09960</t>
  </si>
  <si>
    <t>09970</t>
  </si>
  <si>
    <t>Social Security/Medicare</t>
  </si>
  <si>
    <t>Development Expenses</t>
  </si>
  <si>
    <t>06155</t>
  </si>
  <si>
    <t>06130</t>
  </si>
  <si>
    <t>06140</t>
  </si>
  <si>
    <t>01400</t>
  </si>
  <si>
    <t>Composition Income</t>
  </si>
  <si>
    <t>Miscellaneous Income</t>
  </si>
  <si>
    <t>31900</t>
  </si>
  <si>
    <t>32100</t>
  </si>
  <si>
    <t>32990</t>
  </si>
  <si>
    <t>DM - Postage</t>
  </si>
  <si>
    <t>Net Journal Contribution</t>
  </si>
  <si>
    <t>Overtime / Temp Allowance</t>
  </si>
  <si>
    <t>Actual</t>
  </si>
  <si>
    <t>JOURNALS</t>
  </si>
  <si>
    <t>Depreciation</t>
  </si>
  <si>
    <t>NET JOURNAL INCOME</t>
  </si>
  <si>
    <t>Dollars</t>
  </si>
  <si>
    <t>Design &amp; Production</t>
  </si>
  <si>
    <t>General Administration</t>
  </si>
  <si>
    <t>DESIGN &amp; PRODUCTION</t>
  </si>
  <si>
    <t>DISTRIBUTION CENTER</t>
  </si>
  <si>
    <t>Electronic Mktg Expenses</t>
  </si>
  <si>
    <t>FY 2000-2001</t>
  </si>
  <si>
    <t>FY 2001-2002</t>
  </si>
  <si>
    <t>FY 2002-2003</t>
  </si>
  <si>
    <t>FY 2003-2004</t>
  </si>
  <si>
    <t>Account</t>
  </si>
  <si>
    <t>Number</t>
  </si>
  <si>
    <t>Series Eds Reading Fees</t>
  </si>
  <si>
    <t>01100</t>
  </si>
  <si>
    <t>01200</t>
  </si>
  <si>
    <t>01550</t>
  </si>
  <si>
    <t>01700</t>
  </si>
  <si>
    <t>01800</t>
  </si>
  <si>
    <t>01950</t>
  </si>
  <si>
    <t>01960</t>
  </si>
  <si>
    <t>01970</t>
  </si>
  <si>
    <t>02100</t>
  </si>
  <si>
    <t>02300</t>
  </si>
  <si>
    <t>02310</t>
  </si>
  <si>
    <t>02500</t>
  </si>
  <si>
    <t>02550</t>
  </si>
  <si>
    <t>02560</t>
  </si>
  <si>
    <t>02700</t>
  </si>
  <si>
    <t>02800</t>
  </si>
  <si>
    <t>02810</t>
  </si>
  <si>
    <t>02950</t>
  </si>
  <si>
    <t>02960</t>
  </si>
  <si>
    <t>02970</t>
  </si>
  <si>
    <t>03100</t>
  </si>
  <si>
    <t>03200</t>
  </si>
  <si>
    <t>03210</t>
  </si>
  <si>
    <t>03250</t>
  </si>
  <si>
    <t>03800</t>
  </si>
  <si>
    <t>03810</t>
  </si>
  <si>
    <t>03950</t>
  </si>
  <si>
    <t>03960</t>
  </si>
  <si>
    <t>03970</t>
  </si>
  <si>
    <t>04100</t>
  </si>
  <si>
    <t>04150</t>
  </si>
  <si>
    <t>04151</t>
  </si>
  <si>
    <t>04160</t>
  </si>
  <si>
    <t>04161</t>
  </si>
  <si>
    <t>04163</t>
  </si>
  <si>
    <t>04164</t>
  </si>
  <si>
    <t>04170</t>
  </si>
  <si>
    <t>04200</t>
  </si>
  <si>
    <t>04300</t>
  </si>
  <si>
    <t>04400</t>
  </si>
  <si>
    <t>04440</t>
  </si>
  <si>
    <t>04441</t>
  </si>
  <si>
    <t>04442</t>
  </si>
  <si>
    <t>04443</t>
  </si>
  <si>
    <t>04450</t>
  </si>
  <si>
    <t>04452</t>
  </si>
  <si>
    <t>04453</t>
  </si>
  <si>
    <t>04481</t>
  </si>
  <si>
    <t>04485</t>
  </si>
  <si>
    <t>04501</t>
  </si>
  <si>
    <t>04502</t>
  </si>
  <si>
    <t>04505</t>
  </si>
  <si>
    <t>04506</t>
  </si>
  <si>
    <t>04507</t>
  </si>
  <si>
    <t>04550</t>
  </si>
  <si>
    <t>04700</t>
  </si>
  <si>
    <t>04701</t>
  </si>
  <si>
    <t>04702</t>
  </si>
  <si>
    <t>04800</t>
  </si>
  <si>
    <t>04805</t>
  </si>
  <si>
    <t>04810</t>
  </si>
  <si>
    <t>04855</t>
  </si>
  <si>
    <t>04920</t>
  </si>
  <si>
    <t>04940</t>
  </si>
  <si>
    <t>04950</t>
  </si>
  <si>
    <t>04960</t>
  </si>
  <si>
    <t>04970</t>
  </si>
  <si>
    <t>05100</t>
  </si>
  <si>
    <t>05110</t>
  </si>
  <si>
    <t>05300</t>
  </si>
  <si>
    <t>05400</t>
  </si>
  <si>
    <t>05440</t>
  </si>
  <si>
    <t>05500</t>
  </si>
  <si>
    <t>05600</t>
  </si>
  <si>
    <t>05700</t>
  </si>
  <si>
    <t>05800</t>
  </si>
  <si>
    <t>05850</t>
  </si>
  <si>
    <t>05860</t>
  </si>
  <si>
    <t>05915</t>
  </si>
  <si>
    <t>05920</t>
  </si>
  <si>
    <t>05950</t>
  </si>
  <si>
    <t>05960</t>
  </si>
  <si>
    <t>05970</t>
  </si>
  <si>
    <t>07100</t>
  </si>
  <si>
    <t>07400</t>
  </si>
  <si>
    <t>07500</t>
  </si>
  <si>
    <t>07600</t>
  </si>
  <si>
    <t>07650</t>
  </si>
  <si>
    <t>07700</t>
  </si>
  <si>
    <t>07780</t>
  </si>
  <si>
    <t>07790</t>
  </si>
  <si>
    <t>07800</t>
  </si>
  <si>
    <t>07950</t>
  </si>
  <si>
    <t>07960</t>
  </si>
  <si>
    <t>07970</t>
  </si>
  <si>
    <t>08100</t>
  </si>
  <si>
    <t>08400</t>
  </si>
  <si>
    <t>08800</t>
  </si>
  <si>
    <t>08880</t>
  </si>
  <si>
    <t>08950</t>
  </si>
  <si>
    <t>08960</t>
  </si>
  <si>
    <t>08970</t>
  </si>
  <si>
    <t>06100</t>
  </si>
  <si>
    <t>06115</t>
  </si>
  <si>
    <t>06120</t>
  </si>
  <si>
    <t>06350</t>
  </si>
  <si>
    <t>06400</t>
  </si>
  <si>
    <t>06401</t>
  </si>
  <si>
    <t>06405</t>
  </si>
  <si>
    <t>06410</t>
  </si>
  <si>
    <t>06420</t>
  </si>
  <si>
    <t>06430</t>
  </si>
  <si>
    <t>06550</t>
  </si>
  <si>
    <t>06600</t>
  </si>
  <si>
    <t>06650</t>
  </si>
  <si>
    <t>06700</t>
  </si>
  <si>
    <t>06701</t>
  </si>
  <si>
    <t>06702</t>
  </si>
  <si>
    <t>06703</t>
  </si>
  <si>
    <t>06710</t>
  </si>
  <si>
    <t>06800</t>
  </si>
  <si>
    <t>06810</t>
  </si>
  <si>
    <t>06820</t>
  </si>
  <si>
    <t>06840</t>
  </si>
  <si>
    <t>06880</t>
  </si>
  <si>
    <t>06900</t>
  </si>
  <si>
    <t>06912</t>
  </si>
  <si>
    <t>06915</t>
  </si>
  <si>
    <t>06920</t>
  </si>
  <si>
    <t>06945</t>
  </si>
  <si>
    <t>06950</t>
  </si>
  <si>
    <t>06960</t>
  </si>
  <si>
    <t>06970</t>
  </si>
  <si>
    <t>09100</t>
  </si>
  <si>
    <t>09400</t>
  </si>
  <si>
    <t>09800</t>
  </si>
  <si>
    <t xml:space="preserve"> </t>
  </si>
  <si>
    <t>%</t>
  </si>
  <si>
    <t>Total Net Sales</t>
  </si>
  <si>
    <t>Plant Costs (at publication)</t>
  </si>
  <si>
    <t>Royalties (earned)</t>
  </si>
  <si>
    <t>Total Cost of Sales</t>
  </si>
  <si>
    <t>Gross Margin</t>
  </si>
  <si>
    <t>Subsidiary Rights</t>
  </si>
  <si>
    <t>Acquisitions Editorial</t>
  </si>
  <si>
    <t>Manuscript Editorial</t>
  </si>
  <si>
    <t>Marketing</t>
  </si>
  <si>
    <t>Accounting</t>
  </si>
  <si>
    <t>Total Operating Expense</t>
  </si>
  <si>
    <t>State and University Support</t>
  </si>
  <si>
    <t>(FTE employees)</t>
  </si>
  <si>
    <t>Salaries</t>
  </si>
  <si>
    <t>Supplies</t>
  </si>
  <si>
    <t>Equipment Maintenance</t>
  </si>
  <si>
    <t>Complimentary Copies</t>
  </si>
  <si>
    <t>Telephone</t>
  </si>
  <si>
    <t>Travel</t>
  </si>
  <si>
    <t>Postage</t>
  </si>
  <si>
    <t>Federal Express</t>
  </si>
  <si>
    <t>Retirement</t>
  </si>
  <si>
    <t>Health Insurance</t>
  </si>
  <si>
    <t>TOTAL</t>
  </si>
  <si>
    <t>ACQUISITIONS EDITORIAL</t>
  </si>
  <si>
    <t>Series Editors Fees</t>
  </si>
  <si>
    <t>Supplies &amp; Miscellaneous</t>
  </si>
  <si>
    <t>Subscriptions</t>
  </si>
  <si>
    <t>Manuscript Reading Fees</t>
  </si>
  <si>
    <t>Comps - Readers Fees</t>
  </si>
  <si>
    <t>Copying</t>
  </si>
  <si>
    <t>MANUSCRIPT EDITORIAL</t>
  </si>
  <si>
    <t>Freelance Copyediting</t>
  </si>
  <si>
    <t>MARKETING</t>
  </si>
  <si>
    <t>Sales Commissions - Domestic</t>
  </si>
  <si>
    <t>Sales Commissions - Foreign</t>
  </si>
  <si>
    <t>Sales - Selling Expense</t>
  </si>
  <si>
    <t>Sales - Trade Exhibits</t>
  </si>
  <si>
    <t>Sales - Travel</t>
  </si>
  <si>
    <t>Direct Mail - List Rental</t>
  </si>
  <si>
    <t xml:space="preserve">Publicity </t>
  </si>
  <si>
    <t>Publicity - Au Travel</t>
  </si>
  <si>
    <t>Publicity - Author Events</t>
  </si>
  <si>
    <t>Advertising - Space</t>
  </si>
  <si>
    <t>Exhibits - Booth Rental</t>
  </si>
  <si>
    <t>Exhibits - Co-op</t>
  </si>
  <si>
    <t>Exhibits - Shipping Costs</t>
  </si>
  <si>
    <t>Exhibits - Furnishings</t>
  </si>
  <si>
    <t>Review Copies</t>
  </si>
  <si>
    <t>Postage - Warehouse</t>
  </si>
  <si>
    <t>Postage - Office</t>
  </si>
  <si>
    <t>Copying - Proof &amp; Cranes</t>
  </si>
  <si>
    <t>Miscellaneous</t>
  </si>
  <si>
    <t>Mileage</t>
  </si>
  <si>
    <t>Utilities</t>
  </si>
  <si>
    <t>Building Maintenance</t>
  </si>
  <si>
    <t>Building Depreciation</t>
  </si>
  <si>
    <t>Equipment Depreciation</t>
  </si>
  <si>
    <t>Hardware Maintenance</t>
  </si>
  <si>
    <t>800-Wats Line</t>
  </si>
  <si>
    <t>Credit card fees</t>
  </si>
  <si>
    <t>ACCOUNTING</t>
  </si>
  <si>
    <t>GENERAL ADMINISTRATIVE</t>
  </si>
  <si>
    <t>Hiring Expenses</t>
  </si>
  <si>
    <t>Supplies - General Office</t>
  </si>
  <si>
    <t>Professional Dues</t>
  </si>
  <si>
    <t xml:space="preserve">Copy Machines </t>
  </si>
  <si>
    <t>Insurance</t>
  </si>
  <si>
    <t>Contingency Fund</t>
  </si>
  <si>
    <t>Royalty writeoff</t>
  </si>
  <si>
    <t>Depreciation - Building</t>
  </si>
  <si>
    <t>Title Subsidies - outside</t>
  </si>
  <si>
    <t>Freelance Production/Design</t>
  </si>
  <si>
    <t>Total Other Income</t>
  </si>
  <si>
    <t>Meals - Staff</t>
  </si>
  <si>
    <t>EDI charges</t>
  </si>
  <si>
    <t>Commission Sales</t>
  </si>
  <si>
    <t>Sale of Hurts/Damaged Books</t>
  </si>
  <si>
    <t>FY 2004-2005</t>
  </si>
  <si>
    <t>Brd of Gov Expenses</t>
  </si>
  <si>
    <t>Bank Fees</t>
  </si>
  <si>
    <t>Operating Reserve Draw</t>
  </si>
  <si>
    <t>Commission Income:</t>
  </si>
  <si>
    <t xml:space="preserve">  High School Journal</t>
  </si>
  <si>
    <t xml:space="preserve">  Studies in Philology</t>
  </si>
  <si>
    <t xml:space="preserve">  Social Forces</t>
  </si>
  <si>
    <t xml:space="preserve">  Southern Cultures</t>
  </si>
  <si>
    <t xml:space="preserve">  Early American Literature</t>
  </si>
  <si>
    <t xml:space="preserve">  Southeastern Geographer</t>
  </si>
  <si>
    <t xml:space="preserve">  Southern Literary Journal</t>
  </si>
  <si>
    <t>Total Income</t>
  </si>
  <si>
    <t>Operating Expenses:</t>
  </si>
  <si>
    <t>09700</t>
  </si>
  <si>
    <t>09410</t>
  </si>
  <si>
    <t>06885</t>
  </si>
  <si>
    <t>06165</t>
  </si>
  <si>
    <t>02900</t>
  </si>
  <si>
    <t>Endowment Support</t>
  </si>
  <si>
    <t>Total Internal Support</t>
  </si>
  <si>
    <t>Social Security</t>
  </si>
  <si>
    <t>Description</t>
  </si>
  <si>
    <t>Vacation Accrual</t>
  </si>
  <si>
    <t>E-Book Sales</t>
  </si>
  <si>
    <t>Direct Mail - Prod &amp; Printing</t>
  </si>
  <si>
    <t>Sales - Trade Adv. &amp; Co-op</t>
  </si>
  <si>
    <t>Awards - Comp Copies &amp; Fees</t>
  </si>
  <si>
    <t>Catalogs - Prod &amp; Printing</t>
  </si>
  <si>
    <t>Direct Mail - Svcs &amp; Postage</t>
  </si>
  <si>
    <t>Advertising - Exhibit Programs</t>
  </si>
  <si>
    <t>Exhibits - Posters/Displays</t>
  </si>
  <si>
    <t>Pstg Machine Rental/Maint</t>
  </si>
  <si>
    <t>Equip Repairs/Maint</t>
  </si>
  <si>
    <t>Supplies - Kitchen/Bathroom</t>
  </si>
  <si>
    <t>Entertainment/Meals - Client</t>
  </si>
  <si>
    <t>NC FICA/Flex Spending</t>
  </si>
  <si>
    <t>Software Support/Programming</t>
  </si>
  <si>
    <t>06112</t>
  </si>
  <si>
    <t>Mfg COGS (print/bind/misc)</t>
  </si>
  <si>
    <t>4482</t>
  </si>
  <si>
    <t>70240</t>
  </si>
  <si>
    <t>70200</t>
  </si>
  <si>
    <t>70100</t>
  </si>
  <si>
    <t>70250</t>
  </si>
  <si>
    <t>73000</t>
  </si>
  <si>
    <t>74000</t>
  </si>
  <si>
    <t>31930</t>
  </si>
  <si>
    <t>32800</t>
  </si>
  <si>
    <t>32200</t>
  </si>
  <si>
    <t>32600</t>
  </si>
  <si>
    <t>32400</t>
  </si>
  <si>
    <t>32700</t>
  </si>
  <si>
    <t>32500</t>
  </si>
  <si>
    <t>32300</t>
  </si>
  <si>
    <t>Advertising - Underwriting</t>
  </si>
  <si>
    <t>Maple-Vail Fees (at 6.5% of net sales)</t>
  </si>
  <si>
    <t>Bad Debt Write-Off</t>
  </si>
  <si>
    <t>Fulfillment Expenses</t>
  </si>
  <si>
    <t>Information Systems</t>
  </si>
  <si>
    <t>FULFILLMENT</t>
  </si>
  <si>
    <t>INFORMATION SYSTEMS</t>
  </si>
  <si>
    <t>BookWorks</t>
  </si>
  <si>
    <t xml:space="preserve">  The Comparatist</t>
  </si>
  <si>
    <t>Hardware</t>
  </si>
  <si>
    <t>Software</t>
  </si>
  <si>
    <t>Consulting</t>
  </si>
  <si>
    <t>Iron Mountain Backup</t>
  </si>
  <si>
    <t>Credit Card Processing Fess</t>
  </si>
  <si>
    <t>Longleaf Fees</t>
  </si>
  <si>
    <t>Maple-Vail Special Services</t>
  </si>
  <si>
    <t>FY 2007-2008</t>
  </si>
  <si>
    <t xml:space="preserve">  Appalachian Heritage</t>
  </si>
  <si>
    <t xml:space="preserve">Operating Surplus/(Deficit) </t>
  </si>
  <si>
    <t>Surplus/(Deficit) before Support</t>
  </si>
  <si>
    <t>Publicity - Travel</t>
  </si>
  <si>
    <t>Exhibits - Travel</t>
  </si>
  <si>
    <t>Travel - General</t>
  </si>
  <si>
    <t>** special budget variance formula</t>
  </si>
  <si>
    <t>Software Support</t>
  </si>
  <si>
    <t>Unemployment</t>
  </si>
  <si>
    <t>Audit/Tax Prep Expense</t>
  </si>
  <si>
    <t>Equipment/Furniture</t>
  </si>
  <si>
    <t>LCRM/Mellon Project Expenses</t>
  </si>
  <si>
    <t>Freelance Proofreading</t>
  </si>
  <si>
    <t>Net Operating Surplus/(Deficit)</t>
  </si>
  <si>
    <t>Net Gain/Loss on Investments</t>
  </si>
  <si>
    <t>Investment Mgmt Fees</t>
  </si>
  <si>
    <t>Surplus/(Deficit)</t>
  </si>
  <si>
    <t>New Endowment Gifts</t>
  </si>
  <si>
    <t>Invty Write-Off/overstk/destroy</t>
  </si>
  <si>
    <t>Total Gross Sales</t>
  </si>
  <si>
    <t>Prior Year Variance</t>
  </si>
  <si>
    <t>FY 2008-2009</t>
  </si>
  <si>
    <t>Sales Returns Reserve</t>
  </si>
  <si>
    <t>Actual Sales Returns</t>
  </si>
  <si>
    <t>Budget Variance</t>
  </si>
  <si>
    <t>FY 2009-2010</t>
  </si>
  <si>
    <t>Press Club Gifts</t>
  </si>
  <si>
    <t>Depreciation - Equip</t>
  </si>
  <si>
    <t xml:space="preserve">  Jrnl Civil War Era</t>
  </si>
  <si>
    <t>FY 2005-2006</t>
  </si>
  <si>
    <t>FY 2006-2007</t>
  </si>
  <si>
    <t>FY 2010-2011</t>
  </si>
  <si>
    <t>Design Supplies/Fonts</t>
  </si>
  <si>
    <t>FY 2011-2012</t>
  </si>
  <si>
    <t>FL - pstge/phone/printing/etc.</t>
  </si>
  <si>
    <t>CONTRACTS &amp; RIGHTS</t>
  </si>
  <si>
    <t>Frankfurt/BEA</t>
  </si>
  <si>
    <t>Supplies/Misc</t>
  </si>
  <si>
    <t>Contracts &amp; Rights</t>
  </si>
  <si>
    <t>Fiscal Year Results</t>
  </si>
  <si>
    <t>Staff Development</t>
  </si>
  <si>
    <t>Original Budget</t>
  </si>
  <si>
    <t>Budget</t>
  </si>
  <si>
    <t>Endowment Pledge Revenue</t>
  </si>
  <si>
    <t>FY 2012-2013</t>
  </si>
  <si>
    <t>FY13 Budget</t>
  </si>
  <si>
    <t>Digital File Creation/Conversion</t>
  </si>
  <si>
    <t>Commission COGS</t>
  </si>
  <si>
    <t>Network Access Fee (Campus)</t>
  </si>
  <si>
    <t>Digital Asset Mgmt System</t>
  </si>
  <si>
    <t>FTE Staff</t>
  </si>
  <si>
    <t>Total Salaries</t>
  </si>
  <si>
    <t>Total Retirement</t>
  </si>
  <si>
    <t>Total Social Security</t>
  </si>
  <si>
    <t>Total Health Insurance</t>
  </si>
  <si>
    <t>Total Benefits</t>
  </si>
  <si>
    <t>Grand Total Salaries &amp; Benefits</t>
  </si>
  <si>
    <t>Salaries &amp; Benefits as % of Total OP Expenses</t>
  </si>
  <si>
    <t>Salaries &amp; Benefits as % of Net Sales</t>
  </si>
  <si>
    <t>Marketing Subventions</t>
  </si>
  <si>
    <t>FY13 REVISED Budget</t>
  </si>
  <si>
    <t>Nine Month Budget</t>
  </si>
  <si>
    <t>FY14 vs FY13 Revised</t>
  </si>
  <si>
    <t>July-Apr Results</t>
  </si>
  <si>
    <t>FY14 Proposed Budget</t>
  </si>
  <si>
    <t>Gross Print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</si>
</sst>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164" formatCode="&quot;$&quot;#,##0;[Red]\-&quot;$&quot;#,##0"/>
    <numFmt numFmtId="165" formatCode="&quot;$&quot;#,##0.00;[Red]\-&quot;$&quot;#,##0.00"/>
    <numFmt numFmtId="166" formatCode="0.0%"/>
    <numFmt numFmtId="167" formatCode="0.00_);\(0.00\)"/>
    <numFmt numFmtId="168" formatCode="0_);\(0\)"/>
  </numFmts>
  <fonts count="52" x14ac:knownFonts="1">
    <font>
      <sz val="10"/>
      <name val="Courie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0"/>
      <name val="Courier"/>
      <family val="3"/>
    </font>
    <font>
      <u/>
      <sz val="10"/>
      <name val="Times New Roman"/>
      <family val="1"/>
    </font>
    <font>
      <sz val="10"/>
      <name val="Courier"/>
      <family val="3"/>
    </font>
    <font>
      <i/>
      <sz val="8"/>
      <name val="Times New Roman"/>
      <family val="1"/>
    </font>
    <font>
      <u/>
      <sz val="10"/>
      <name val="Courier"/>
      <family val="3"/>
    </font>
    <font>
      <sz val="8"/>
      <name val="Times New Roman"/>
      <family val="1"/>
    </font>
    <font>
      <sz val="8"/>
      <name val="Courier"/>
      <family val="3"/>
    </font>
    <font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b/>
      <sz val="12"/>
      <name val="Times New Roman"/>
      <family val="1"/>
    </font>
    <font>
      <i/>
      <u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21">
    <xf numFmtId="2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33" fillId="23" borderId="7" applyNumberFormat="0" applyFont="0" applyAlignment="0" applyProtection="0"/>
    <xf numFmtId="0" fontId="42" fillId="20" borderId="8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" fontId="11" fillId="0" borderId="0"/>
    <xf numFmtId="0" fontId="20" fillId="23" borderId="7" applyNumberFormat="0" applyFont="0" applyAlignment="0" applyProtection="0"/>
    <xf numFmtId="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7" fillId="23" borderId="7" applyNumberFormat="0" applyFont="0" applyAlignment="0" applyProtection="0"/>
    <xf numFmtId="9" fontId="46" fillId="0" borderId="0" applyFont="0" applyFill="0" applyBorder="0" applyAlignment="0" applyProtection="0"/>
    <xf numFmtId="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0" fillId="23" borderId="7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2" fontId="11" fillId="0" borderId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49" fillId="23" borderId="7" applyNumberFormat="0" applyFont="0" applyAlignment="0" applyProtection="0"/>
    <xf numFmtId="9" fontId="4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0" fillId="23" borderId="7" applyNumberFormat="0" applyFont="0" applyAlignment="0" applyProtection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51" fillId="23" borderId="7" applyNumberFormat="0" applyFont="0" applyAlignment="0" applyProtection="0"/>
    <xf numFmtId="9" fontId="50" fillId="0" borderId="0" applyFont="0" applyFill="0" applyBorder="0" applyAlignment="0" applyProtection="0"/>
    <xf numFmtId="0" fontId="2" fillId="0" borderId="0"/>
    <xf numFmtId="0" fontId="1" fillId="0" borderId="0"/>
  </cellStyleXfs>
  <cellXfs count="1245">
    <xf numFmtId="2" fontId="0" fillId="0" borderId="0" xfId="0"/>
    <xf numFmtId="168" fontId="10" fillId="0" borderId="0" xfId="0" applyNumberFormat="1" applyFont="1"/>
    <xf numFmtId="168" fontId="11" fillId="0" borderId="0" xfId="0" applyNumberFormat="1" applyFont="1"/>
    <xf numFmtId="168" fontId="15" fillId="0" borderId="0" xfId="0" applyNumberFormat="1" applyFont="1"/>
    <xf numFmtId="4" fontId="10" fillId="0" borderId="0" xfId="28" applyFont="1"/>
    <xf numFmtId="168" fontId="14" fillId="0" borderId="0" xfId="0" applyNumberFormat="1" applyFont="1"/>
    <xf numFmtId="168" fontId="17" fillId="0" borderId="0" xfId="0" applyNumberFormat="1" applyFont="1"/>
    <xf numFmtId="166" fontId="18" fillId="0" borderId="0" xfId="42" applyNumberFormat="1" applyFont="1" applyBorder="1"/>
    <xf numFmtId="2" fontId="19" fillId="0" borderId="0" xfId="0" applyFont="1" applyBorder="1"/>
    <xf numFmtId="168" fontId="16" fillId="0" borderId="0" xfId="0" applyNumberFormat="1" applyFont="1" applyBorder="1"/>
    <xf numFmtId="164" fontId="10" fillId="0" borderId="0" xfId="29" applyNumberFormat="1" applyFont="1" applyBorder="1"/>
    <xf numFmtId="168" fontId="12" fillId="0" borderId="0" xfId="0" applyNumberFormat="1" applyFont="1" applyBorder="1" applyAlignment="1">
      <alignment horizontal="left"/>
    </xf>
    <xf numFmtId="2" fontId="0" fillId="0" borderId="0" xfId="0" applyBorder="1"/>
    <xf numFmtId="2" fontId="21" fillId="0" borderId="0" xfId="0" applyFont="1" applyBorder="1"/>
    <xf numFmtId="168" fontId="10" fillId="0" borderId="0" xfId="0" applyNumberFormat="1" applyFont="1" applyBorder="1"/>
    <xf numFmtId="2" fontId="13" fillId="0" borderId="0" xfId="0" applyFont="1" applyBorder="1"/>
    <xf numFmtId="168" fontId="22" fillId="0" borderId="0" xfId="0" applyNumberFormat="1" applyFont="1" applyBorder="1"/>
    <xf numFmtId="2" fontId="20" fillId="0" borderId="0" xfId="0" applyFont="1" applyBorder="1"/>
    <xf numFmtId="168" fontId="24" fillId="0" borderId="0" xfId="0" applyNumberFormat="1" applyFont="1" applyBorder="1"/>
    <xf numFmtId="164" fontId="20" fillId="0" borderId="10" xfId="29" applyNumberFormat="1" applyFont="1" applyBorder="1" applyAlignment="1" applyProtection="1">
      <alignment horizontal="centerContinuous"/>
    </xf>
    <xf numFmtId="166" fontId="20" fillId="0" borderId="11" xfId="42" applyNumberFormat="1" applyFont="1" applyBorder="1" applyAlignment="1">
      <alignment horizontal="centerContinuous"/>
    </xf>
    <xf numFmtId="2" fontId="20" fillId="0" borderId="10" xfId="0" applyFont="1" applyBorder="1" applyAlignment="1">
      <alignment horizontal="centerContinuous"/>
    </xf>
    <xf numFmtId="166" fontId="20" fillId="0" borderId="11" xfId="0" applyNumberFormat="1" applyFont="1" applyBorder="1" applyAlignment="1">
      <alignment horizontal="centerContinuous"/>
    </xf>
    <xf numFmtId="164" fontId="20" fillId="0" borderId="12" xfId="29" applyNumberFormat="1" applyFont="1" applyBorder="1" applyAlignment="1" applyProtection="1">
      <alignment horizontal="center"/>
    </xf>
    <xf numFmtId="166" fontId="20" fillId="0" borderId="13" xfId="42" applyNumberFormat="1" applyFont="1" applyBorder="1" applyAlignment="1" applyProtection="1">
      <alignment horizontal="center"/>
    </xf>
    <xf numFmtId="2" fontId="20" fillId="0" borderId="10" xfId="0" applyFont="1" applyBorder="1"/>
    <xf numFmtId="166" fontId="20" fillId="0" borderId="11" xfId="0" applyNumberFormat="1" applyFont="1" applyBorder="1"/>
    <xf numFmtId="164" fontId="20" fillId="0" borderId="14" xfId="29" applyNumberFormat="1" applyFont="1" applyBorder="1" applyAlignment="1" applyProtection="1">
      <alignment horizontal="right"/>
    </xf>
    <xf numFmtId="166" fontId="20" fillId="0" borderId="15" xfId="42" applyNumberFormat="1" applyFont="1" applyBorder="1" applyAlignment="1" applyProtection="1">
      <alignment horizontal="right"/>
    </xf>
    <xf numFmtId="164" fontId="20" fillId="0" borderId="10" xfId="29" applyNumberFormat="1" applyFont="1" applyBorder="1" applyProtection="1"/>
    <xf numFmtId="166" fontId="20" fillId="0" borderId="11" xfId="42" applyNumberFormat="1" applyFont="1" applyBorder="1"/>
    <xf numFmtId="166" fontId="20" fillId="0" borderId="10" xfId="42" applyNumberFormat="1" applyFont="1" applyBorder="1" applyProtection="1"/>
    <xf numFmtId="166" fontId="20" fillId="0" borderId="11" xfId="42" applyNumberFormat="1" applyFont="1" applyBorder="1" applyProtection="1"/>
    <xf numFmtId="166" fontId="20" fillId="0" borderId="15" xfId="42" applyNumberFormat="1" applyFont="1" applyBorder="1" applyProtection="1"/>
    <xf numFmtId="9" fontId="20" fillId="0" borderId="10" xfId="42" applyFont="1" applyBorder="1" applyProtection="1"/>
    <xf numFmtId="164" fontId="20" fillId="0" borderId="14" xfId="29" applyNumberFormat="1" applyFont="1" applyBorder="1" applyProtection="1"/>
    <xf numFmtId="164" fontId="20" fillId="0" borderId="14" xfId="29" applyNumberFormat="1" applyFont="1" applyBorder="1"/>
    <xf numFmtId="164" fontId="20" fillId="0" borderId="10" xfId="29" applyNumberFormat="1" applyFont="1" applyBorder="1"/>
    <xf numFmtId="166" fontId="20" fillId="0" borderId="15" xfId="42" applyNumberFormat="1" applyFont="1" applyBorder="1"/>
    <xf numFmtId="164" fontId="20" fillId="0" borderId="16" xfId="29" applyNumberFormat="1" applyFont="1" applyBorder="1" applyProtection="1"/>
    <xf numFmtId="166" fontId="20" fillId="0" borderId="17" xfId="42" applyNumberFormat="1" applyFont="1" applyBorder="1"/>
    <xf numFmtId="166" fontId="20" fillId="0" borderId="17" xfId="42" applyNumberFormat="1" applyFont="1" applyBorder="1" applyProtection="1"/>
    <xf numFmtId="2" fontId="20" fillId="0" borderId="11" xfId="0" applyFont="1" applyBorder="1"/>
    <xf numFmtId="3" fontId="20" fillId="0" borderId="10" xfId="28" applyNumberFormat="1" applyFont="1" applyBorder="1" applyProtection="1"/>
    <xf numFmtId="3" fontId="20" fillId="0" borderId="14" xfId="28" applyNumberFormat="1" applyFont="1" applyBorder="1" applyProtection="1"/>
    <xf numFmtId="2" fontId="20" fillId="0" borderId="15" xfId="0" applyFont="1" applyBorder="1"/>
    <xf numFmtId="4" fontId="20" fillId="0" borderId="10" xfId="28" applyNumberFormat="1" applyFont="1" applyBorder="1" applyProtection="1"/>
    <xf numFmtId="3" fontId="23" fillId="0" borderId="10" xfId="28" applyNumberFormat="1" applyFont="1" applyBorder="1" applyProtection="1"/>
    <xf numFmtId="3" fontId="20" fillId="0" borderId="16" xfId="28" applyNumberFormat="1" applyFont="1" applyBorder="1"/>
    <xf numFmtId="2" fontId="20" fillId="0" borderId="17" xfId="0" applyFont="1" applyBorder="1"/>
    <xf numFmtId="3" fontId="20" fillId="0" borderId="18" xfId="28" applyNumberFormat="1" applyFont="1" applyBorder="1" applyProtection="1"/>
    <xf numFmtId="164" fontId="20" fillId="0" borderId="19" xfId="29" applyNumberFormat="1" applyFont="1" applyBorder="1" applyAlignment="1" applyProtection="1">
      <alignment horizontal="right"/>
    </xf>
    <xf numFmtId="166" fontId="20" fillId="0" borderId="20" xfId="42" applyNumberFormat="1" applyFont="1" applyBorder="1" applyAlignment="1" applyProtection="1">
      <alignment horizontal="right"/>
    </xf>
    <xf numFmtId="164" fontId="20" fillId="0" borderId="21" xfId="29" applyNumberFormat="1" applyFont="1" applyBorder="1" applyAlignment="1" applyProtection="1">
      <alignment horizontal="right"/>
    </xf>
    <xf numFmtId="164" fontId="20" fillId="0" borderId="22" xfId="29" applyNumberFormat="1" applyFont="1" applyBorder="1" applyProtection="1"/>
    <xf numFmtId="166" fontId="20" fillId="0" borderId="23" xfId="42" applyNumberFormat="1" applyFont="1" applyBorder="1" applyProtection="1"/>
    <xf numFmtId="164" fontId="20" fillId="0" borderId="19" xfId="29" applyNumberFormat="1" applyFont="1" applyBorder="1" applyProtection="1"/>
    <xf numFmtId="166" fontId="20" fillId="0" borderId="20" xfId="42" applyNumberFormat="1" applyFont="1" applyBorder="1" applyProtection="1"/>
    <xf numFmtId="164" fontId="20" fillId="0" borderId="21" xfId="29" applyNumberFormat="1" applyFont="1" applyBorder="1" applyProtection="1"/>
    <xf numFmtId="166" fontId="20" fillId="0" borderId="24" xfId="42" applyNumberFormat="1" applyFont="1" applyBorder="1" applyProtection="1"/>
    <xf numFmtId="164" fontId="20" fillId="0" borderId="19" xfId="29" applyNumberFormat="1" applyFont="1" applyBorder="1"/>
    <xf numFmtId="166" fontId="20" fillId="0" borderId="20" xfId="42" applyNumberFormat="1" applyFont="1" applyBorder="1"/>
    <xf numFmtId="3" fontId="20" fillId="0" borderId="22" xfId="28" applyNumberFormat="1" applyFont="1" applyBorder="1" applyProtection="1"/>
    <xf numFmtId="2" fontId="20" fillId="0" borderId="23" xfId="0" applyFont="1" applyBorder="1"/>
    <xf numFmtId="3" fontId="20" fillId="0" borderId="19" xfId="28" applyNumberFormat="1" applyFont="1" applyBorder="1" applyProtection="1"/>
    <xf numFmtId="2" fontId="20" fillId="0" borderId="20" xfId="0" applyFont="1" applyBorder="1"/>
    <xf numFmtId="3" fontId="20" fillId="0" borderId="21" xfId="28" applyNumberFormat="1" applyFont="1" applyBorder="1" applyProtection="1"/>
    <xf numFmtId="2" fontId="20" fillId="0" borderId="24" xfId="0" applyFont="1" applyBorder="1"/>
    <xf numFmtId="3" fontId="20" fillId="0" borderId="19" xfId="28" applyNumberFormat="1" applyFont="1" applyBorder="1"/>
    <xf numFmtId="3" fontId="20" fillId="0" borderId="21" xfId="28" applyNumberFormat="1" applyFont="1" applyBorder="1"/>
    <xf numFmtId="5" fontId="20" fillId="0" borderId="19" xfId="29" applyNumberFormat="1" applyFont="1" applyBorder="1" applyProtection="1"/>
    <xf numFmtId="5" fontId="20" fillId="0" borderId="14" xfId="29" applyNumberFormat="1" applyFont="1" applyBorder="1" applyProtection="1"/>
    <xf numFmtId="5" fontId="20" fillId="0" borderId="16" xfId="29" applyNumberFormat="1" applyFont="1" applyBorder="1"/>
    <xf numFmtId="166" fontId="23" fillId="0" borderId="25" xfId="42" applyNumberFormat="1" applyFont="1" applyBorder="1" applyAlignment="1">
      <alignment horizontal="centerContinuous"/>
    </xf>
    <xf numFmtId="49" fontId="0" fillId="0" borderId="0" xfId="0" applyNumberFormat="1" applyBorder="1"/>
    <xf numFmtId="49" fontId="16" fillId="0" borderId="0" xfId="0" applyNumberFormat="1" applyFont="1" applyBorder="1"/>
    <xf numFmtId="168" fontId="23" fillId="0" borderId="11" xfId="0" applyNumberFormat="1" applyFont="1" applyBorder="1" applyAlignment="1" applyProtection="1">
      <alignment horizontal="left"/>
    </xf>
    <xf numFmtId="168" fontId="23" fillId="0" borderId="23" xfId="0" applyNumberFormat="1" applyFont="1" applyBorder="1" applyAlignment="1" applyProtection="1">
      <alignment horizontal="left"/>
    </xf>
    <xf numFmtId="168" fontId="23" fillId="0" borderId="20" xfId="0" applyNumberFormat="1" applyFont="1" applyBorder="1" applyAlignment="1" applyProtection="1">
      <alignment horizontal="left"/>
    </xf>
    <xf numFmtId="168" fontId="23" fillId="0" borderId="24" xfId="0" applyNumberFormat="1" applyFont="1" applyBorder="1" applyAlignment="1" applyProtection="1">
      <alignment horizontal="left"/>
    </xf>
    <xf numFmtId="168" fontId="23" fillId="0" borderId="15" xfId="0" applyNumberFormat="1" applyFont="1" applyBorder="1" applyAlignment="1" applyProtection="1">
      <alignment horizontal="left"/>
    </xf>
    <xf numFmtId="168" fontId="23" fillId="0" borderId="11" xfId="0" applyNumberFormat="1" applyFont="1" applyBorder="1" applyAlignment="1">
      <alignment horizontal="left"/>
    </xf>
    <xf numFmtId="168" fontId="23" fillId="0" borderId="15" xfId="0" applyNumberFormat="1" applyFont="1" applyBorder="1" applyAlignment="1">
      <alignment horizontal="left"/>
    </xf>
    <xf numFmtId="168" fontId="23" fillId="0" borderId="20" xfId="0" applyNumberFormat="1" applyFont="1" applyBorder="1" applyAlignment="1">
      <alignment horizontal="left"/>
    </xf>
    <xf numFmtId="168" fontId="23" fillId="0" borderId="17" xfId="0" applyNumberFormat="1" applyFont="1" applyBorder="1" applyAlignment="1">
      <alignment horizontal="left"/>
    </xf>
    <xf numFmtId="168" fontId="23" fillId="0" borderId="17" xfId="0" applyNumberFormat="1" applyFont="1" applyBorder="1" applyAlignment="1" applyProtection="1">
      <alignment horizontal="left"/>
    </xf>
    <xf numFmtId="167" fontId="23" fillId="0" borderId="11" xfId="0" applyNumberFormat="1" applyFont="1" applyBorder="1" applyAlignment="1" applyProtection="1">
      <alignment horizontal="left"/>
    </xf>
    <xf numFmtId="167" fontId="23" fillId="0" borderId="11" xfId="0" applyNumberFormat="1" applyFont="1" applyBorder="1" applyAlignment="1">
      <alignment horizontal="left"/>
    </xf>
    <xf numFmtId="167" fontId="23" fillId="0" borderId="23" xfId="0" applyNumberFormat="1" applyFont="1" applyBorder="1" applyAlignment="1" applyProtection="1">
      <alignment horizontal="left"/>
    </xf>
    <xf numFmtId="167" fontId="23" fillId="0" borderId="20" xfId="0" applyNumberFormat="1" applyFont="1" applyBorder="1" applyAlignment="1" applyProtection="1">
      <alignment horizontal="left"/>
    </xf>
    <xf numFmtId="167" fontId="23" fillId="0" borderId="24" xfId="0" applyNumberFormat="1" applyFont="1" applyBorder="1" applyAlignment="1" applyProtection="1">
      <alignment horizontal="left"/>
    </xf>
    <xf numFmtId="167" fontId="23" fillId="0" borderId="15" xfId="0" applyNumberFormat="1" applyFont="1" applyBorder="1" applyAlignment="1" applyProtection="1">
      <alignment horizontal="left"/>
    </xf>
    <xf numFmtId="167" fontId="23" fillId="0" borderId="17" xfId="0" applyNumberFormat="1" applyFont="1" applyBorder="1" applyAlignment="1" applyProtection="1">
      <alignment horizontal="left"/>
    </xf>
    <xf numFmtId="49" fontId="22" fillId="0" borderId="10" xfId="0" applyNumberFormat="1" applyFont="1" applyBorder="1"/>
    <xf numFmtId="49" fontId="20" fillId="0" borderId="10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2" fontId="20" fillId="0" borderId="0" xfId="0" applyFont="1" applyBorder="1" applyAlignment="1">
      <alignment horizontal="center"/>
    </xf>
    <xf numFmtId="168" fontId="22" fillId="0" borderId="27" xfId="28" applyNumberFormat="1" applyFont="1" applyBorder="1" applyAlignment="1">
      <alignment horizontal="center"/>
    </xf>
    <xf numFmtId="168" fontId="22" fillId="0" borderId="28" xfId="28" applyNumberFormat="1" applyFont="1" applyBorder="1" applyAlignment="1">
      <alignment horizontal="center"/>
    </xf>
    <xf numFmtId="49" fontId="22" fillId="0" borderId="19" xfId="28" applyNumberFormat="1" applyFont="1" applyBorder="1" applyAlignment="1">
      <alignment horizontal="center"/>
    </xf>
    <xf numFmtId="168" fontId="22" fillId="0" borderId="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" fontId="22" fillId="0" borderId="0" xfId="28" applyFont="1" applyBorder="1" applyAlignment="1">
      <alignment horizontal="center"/>
    </xf>
    <xf numFmtId="49" fontId="22" fillId="0" borderId="10" xfId="28" applyNumberFormat="1" applyFont="1" applyBorder="1" applyAlignment="1">
      <alignment horizontal="center"/>
    </xf>
    <xf numFmtId="168" fontId="22" fillId="0" borderId="27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168" fontId="22" fillId="0" borderId="28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4" fontId="23" fillId="0" borderId="20" xfId="28" applyFont="1" applyBorder="1" applyAlignment="1" applyProtection="1">
      <alignment horizontal="left"/>
    </xf>
    <xf numFmtId="4" fontId="20" fillId="0" borderId="19" xfId="28" applyFont="1" applyBorder="1" applyProtection="1"/>
    <xf numFmtId="166" fontId="20" fillId="0" borderId="20" xfId="28" applyNumberFormat="1" applyFont="1" applyBorder="1" applyAlignment="1" applyProtection="1">
      <alignment horizontal="left"/>
    </xf>
    <xf numFmtId="166" fontId="20" fillId="0" borderId="20" xfId="28" applyNumberFormat="1" applyFont="1" applyBorder="1" applyProtection="1"/>
    <xf numFmtId="4" fontId="20" fillId="0" borderId="20" xfId="28" applyFont="1" applyBorder="1" applyProtection="1"/>
    <xf numFmtId="4" fontId="20" fillId="0" borderId="19" xfId="28" applyNumberFormat="1" applyFont="1" applyBorder="1" applyProtection="1"/>
    <xf numFmtId="166" fontId="23" fillId="0" borderId="25" xfId="0" applyNumberFormat="1" applyFont="1" applyBorder="1"/>
    <xf numFmtId="2" fontId="20" fillId="0" borderId="34" xfId="0" applyFont="1" applyBorder="1" applyAlignment="1">
      <alignment horizontal="center"/>
    </xf>
    <xf numFmtId="168" fontId="22" fillId="0" borderId="35" xfId="0" applyNumberFormat="1" applyFont="1" applyBorder="1" applyAlignment="1">
      <alignment horizontal="center"/>
    </xf>
    <xf numFmtId="164" fontId="20" fillId="0" borderId="34" xfId="29" applyNumberFormat="1" applyFont="1" applyBorder="1" applyAlignment="1" applyProtection="1">
      <alignment horizontal="centerContinuous"/>
    </xf>
    <xf numFmtId="164" fontId="20" fillId="0" borderId="36" xfId="29" applyNumberFormat="1" applyFont="1" applyBorder="1" applyAlignment="1" applyProtection="1">
      <alignment horizontal="center"/>
    </xf>
    <xf numFmtId="2" fontId="20" fillId="0" borderId="34" xfId="0" applyFont="1" applyBorder="1"/>
    <xf numFmtId="164" fontId="20" fillId="0" borderId="35" xfId="29" applyNumberFormat="1" applyFont="1" applyBorder="1" applyAlignment="1" applyProtection="1">
      <alignment horizontal="right"/>
    </xf>
    <xf numFmtId="164" fontId="20" fillId="0" borderId="37" xfId="29" applyNumberFormat="1" applyFont="1" applyBorder="1" applyAlignment="1" applyProtection="1">
      <alignment horizontal="right"/>
    </xf>
    <xf numFmtId="164" fontId="20" fillId="0" borderId="38" xfId="29" applyNumberFormat="1" applyFont="1" applyBorder="1" applyAlignment="1" applyProtection="1">
      <alignment horizontal="right"/>
    </xf>
    <xf numFmtId="164" fontId="20" fillId="0" borderId="34" xfId="29" applyNumberFormat="1" applyFont="1" applyBorder="1" applyProtection="1"/>
    <xf numFmtId="164" fontId="20" fillId="0" borderId="39" xfId="29" applyNumberFormat="1" applyFont="1" applyBorder="1" applyProtection="1"/>
    <xf numFmtId="5" fontId="20" fillId="0" borderId="35" xfId="29" applyNumberFormat="1" applyFont="1" applyBorder="1" applyProtection="1"/>
    <xf numFmtId="164" fontId="20" fillId="0" borderId="35" xfId="29" applyNumberFormat="1" applyFont="1" applyBorder="1" applyProtection="1"/>
    <xf numFmtId="164" fontId="20" fillId="0" borderId="37" xfId="29" applyNumberFormat="1" applyFont="1" applyBorder="1" applyProtection="1"/>
    <xf numFmtId="164" fontId="20" fillId="0" borderId="38" xfId="29" applyNumberFormat="1" applyFont="1" applyBorder="1" applyProtection="1"/>
    <xf numFmtId="164" fontId="20" fillId="0" borderId="34" xfId="29" applyNumberFormat="1" applyFont="1" applyBorder="1"/>
    <xf numFmtId="5" fontId="20" fillId="0" borderId="38" xfId="29" applyNumberFormat="1" applyFont="1" applyBorder="1" applyProtection="1"/>
    <xf numFmtId="164" fontId="20" fillId="0" borderId="35" xfId="29" applyNumberFormat="1" applyFont="1" applyBorder="1"/>
    <xf numFmtId="164" fontId="20" fillId="0" borderId="38" xfId="29" applyNumberFormat="1" applyFont="1" applyBorder="1"/>
    <xf numFmtId="5" fontId="20" fillId="0" borderId="40" xfId="29" applyNumberFormat="1" applyFont="1" applyBorder="1"/>
    <xf numFmtId="4" fontId="20" fillId="0" borderId="35" xfId="28" applyFont="1" applyBorder="1" applyProtection="1"/>
    <xf numFmtId="164" fontId="20" fillId="0" borderId="40" xfId="29" applyNumberFormat="1" applyFont="1" applyBorder="1" applyProtection="1"/>
    <xf numFmtId="166" fontId="20" fillId="0" borderId="34" xfId="42" applyNumberFormat="1" applyFont="1" applyBorder="1" applyProtection="1"/>
    <xf numFmtId="37" fontId="20" fillId="0" borderId="35" xfId="29" applyNumberFormat="1" applyFont="1" applyBorder="1" applyProtection="1"/>
    <xf numFmtId="9" fontId="20" fillId="0" borderId="34" xfId="42" applyFont="1" applyBorder="1" applyProtection="1"/>
    <xf numFmtId="3" fontId="20" fillId="0" borderId="34" xfId="28" applyNumberFormat="1" applyFont="1" applyBorder="1" applyProtection="1"/>
    <xf numFmtId="4" fontId="20" fillId="0" borderId="35" xfId="28" applyNumberFormat="1" applyFont="1" applyBorder="1" applyProtection="1"/>
    <xf numFmtId="3" fontId="20" fillId="0" borderId="37" xfId="28" applyNumberFormat="1" applyFont="1" applyBorder="1" applyProtection="1"/>
    <xf numFmtId="3" fontId="20" fillId="0" borderId="39" xfId="28" applyNumberFormat="1" applyFont="1" applyBorder="1" applyProtection="1"/>
    <xf numFmtId="3" fontId="20" fillId="0" borderId="35" xfId="28" applyNumberFormat="1" applyFont="1" applyBorder="1" applyProtection="1"/>
    <xf numFmtId="3" fontId="20" fillId="0" borderId="38" xfId="28" applyNumberFormat="1" applyFont="1" applyBorder="1" applyProtection="1"/>
    <xf numFmtId="4" fontId="20" fillId="0" borderId="34" xfId="28" applyNumberFormat="1" applyFont="1" applyBorder="1" applyProtection="1"/>
    <xf numFmtId="3" fontId="20" fillId="0" borderId="35" xfId="28" applyNumberFormat="1" applyFont="1" applyBorder="1"/>
    <xf numFmtId="3" fontId="20" fillId="0" borderId="37" xfId="28" applyNumberFormat="1" applyFont="1" applyBorder="1"/>
    <xf numFmtId="3" fontId="20" fillId="0" borderId="40" xfId="28" applyNumberFormat="1" applyFont="1" applyBorder="1"/>
    <xf numFmtId="164" fontId="20" fillId="24" borderId="41" xfId="29" applyNumberFormat="1" applyFont="1" applyFill="1" applyBorder="1" applyAlignment="1" applyProtection="1">
      <alignment horizontal="centerContinuous"/>
    </xf>
    <xf numFmtId="166" fontId="20" fillId="24" borderId="25" xfId="42" applyNumberFormat="1" applyFont="1" applyFill="1" applyBorder="1" applyAlignment="1">
      <alignment horizontal="centerContinuous"/>
    </xf>
    <xf numFmtId="166" fontId="20" fillId="24" borderId="25" xfId="0" applyNumberFormat="1" applyFont="1" applyFill="1" applyBorder="1" applyAlignment="1">
      <alignment horizontal="centerContinuous"/>
    </xf>
    <xf numFmtId="164" fontId="20" fillId="24" borderId="42" xfId="29" applyNumberFormat="1" applyFont="1" applyFill="1" applyBorder="1" applyAlignment="1" applyProtection="1">
      <alignment horizontal="center"/>
    </xf>
    <xf numFmtId="166" fontId="20" fillId="24" borderId="26" xfId="42" applyNumberFormat="1" applyFont="1" applyFill="1" applyBorder="1" applyAlignment="1" applyProtection="1">
      <alignment horizontal="center"/>
    </xf>
    <xf numFmtId="2" fontId="20" fillId="24" borderId="41" xfId="0" applyFont="1" applyFill="1" applyBorder="1"/>
    <xf numFmtId="166" fontId="20" fillId="24" borderId="25" xfId="0" applyNumberFormat="1" applyFont="1" applyFill="1" applyBorder="1"/>
    <xf numFmtId="164" fontId="20" fillId="24" borderId="43" xfId="29" applyNumberFormat="1" applyFont="1" applyFill="1" applyBorder="1" applyAlignment="1" applyProtection="1">
      <alignment horizontal="right"/>
    </xf>
    <xf numFmtId="166" fontId="20" fillId="24" borderId="29" xfId="42" applyNumberFormat="1" applyFont="1" applyFill="1" applyBorder="1" applyAlignment="1" applyProtection="1">
      <alignment horizontal="right"/>
    </xf>
    <xf numFmtId="164" fontId="20" fillId="24" borderId="44" xfId="29" applyNumberFormat="1" applyFont="1" applyFill="1" applyBorder="1" applyAlignment="1" applyProtection="1">
      <alignment horizontal="right"/>
    </xf>
    <xf numFmtId="164" fontId="20" fillId="24" borderId="18" xfId="29" applyNumberFormat="1" applyFont="1" applyFill="1" applyBorder="1" applyAlignment="1" applyProtection="1">
      <alignment horizontal="right"/>
    </xf>
    <xf numFmtId="166" fontId="20" fillId="24" borderId="30" xfId="42" applyNumberFormat="1" applyFont="1" applyFill="1" applyBorder="1" applyAlignment="1" applyProtection="1">
      <alignment horizontal="right"/>
    </xf>
    <xf numFmtId="164" fontId="20" fillId="24" borderId="41" xfId="29" applyNumberFormat="1" applyFont="1" applyFill="1" applyBorder="1" applyProtection="1"/>
    <xf numFmtId="166" fontId="20" fillId="24" borderId="25" xfId="42" applyNumberFormat="1" applyFont="1" applyFill="1" applyBorder="1"/>
    <xf numFmtId="164" fontId="20" fillId="24" borderId="45" xfId="29" applyNumberFormat="1" applyFont="1" applyFill="1" applyBorder="1" applyProtection="1"/>
    <xf numFmtId="166" fontId="20" fillId="24" borderId="31" xfId="42" applyNumberFormat="1" applyFont="1" applyFill="1" applyBorder="1" applyProtection="1"/>
    <xf numFmtId="5" fontId="20" fillId="24" borderId="43" xfId="29" applyNumberFormat="1" applyFont="1" applyFill="1" applyBorder="1" applyProtection="1"/>
    <xf numFmtId="166" fontId="20" fillId="24" borderId="29" xfId="42" applyNumberFormat="1" applyFont="1" applyFill="1" applyBorder="1" applyProtection="1"/>
    <xf numFmtId="164" fontId="20" fillId="24" borderId="43" xfId="29" applyNumberFormat="1" applyFont="1" applyFill="1" applyBorder="1" applyProtection="1"/>
    <xf numFmtId="164" fontId="20" fillId="24" borderId="44" xfId="29" applyNumberFormat="1" applyFont="1" applyFill="1" applyBorder="1" applyProtection="1"/>
    <xf numFmtId="166" fontId="20" fillId="24" borderId="32" xfId="42" applyNumberFormat="1" applyFont="1" applyFill="1" applyBorder="1" applyProtection="1"/>
    <xf numFmtId="166" fontId="20" fillId="24" borderId="30" xfId="42" applyNumberFormat="1" applyFont="1" applyFill="1" applyBorder="1" applyProtection="1"/>
    <xf numFmtId="166" fontId="20" fillId="24" borderId="25" xfId="42" applyNumberFormat="1" applyFont="1" applyFill="1" applyBorder="1" applyProtection="1"/>
    <xf numFmtId="164" fontId="20" fillId="24" borderId="18" xfId="29" applyNumberFormat="1" applyFont="1" applyFill="1" applyBorder="1" applyProtection="1"/>
    <xf numFmtId="164" fontId="20" fillId="24" borderId="41" xfId="29" applyNumberFormat="1" applyFont="1" applyFill="1" applyBorder="1"/>
    <xf numFmtId="5" fontId="20" fillId="24" borderId="18" xfId="29" applyNumberFormat="1" applyFont="1" applyFill="1" applyBorder="1" applyProtection="1"/>
    <xf numFmtId="164" fontId="20" fillId="24" borderId="43" xfId="29" applyNumberFormat="1" applyFont="1" applyFill="1" applyBorder="1"/>
    <xf numFmtId="166" fontId="20" fillId="24" borderId="29" xfId="42" applyNumberFormat="1" applyFont="1" applyFill="1" applyBorder="1"/>
    <xf numFmtId="164" fontId="20" fillId="24" borderId="18" xfId="29" applyNumberFormat="1" applyFont="1" applyFill="1" applyBorder="1"/>
    <xf numFmtId="166" fontId="20" fillId="24" borderId="30" xfId="42" applyNumberFormat="1" applyFont="1" applyFill="1" applyBorder="1"/>
    <xf numFmtId="166" fontId="20" fillId="24" borderId="33" xfId="42" applyNumberFormat="1" applyFont="1" applyFill="1" applyBorder="1"/>
    <xf numFmtId="4" fontId="20" fillId="24" borderId="43" xfId="28" applyFont="1" applyFill="1" applyBorder="1" applyProtection="1"/>
    <xf numFmtId="166" fontId="20" fillId="24" borderId="29" xfId="28" applyNumberFormat="1" applyFont="1" applyFill="1" applyBorder="1" applyAlignment="1" applyProtection="1">
      <alignment horizontal="left"/>
    </xf>
    <xf numFmtId="164" fontId="20" fillId="24" borderId="46" xfId="29" applyNumberFormat="1" applyFont="1" applyFill="1" applyBorder="1" applyProtection="1"/>
    <xf numFmtId="166" fontId="20" fillId="24" borderId="33" xfId="42" applyNumberFormat="1" applyFont="1" applyFill="1" applyBorder="1" applyProtection="1"/>
    <xf numFmtId="166" fontId="20" fillId="24" borderId="41" xfId="42" applyNumberFormat="1" applyFont="1" applyFill="1" applyBorder="1" applyProtection="1"/>
    <xf numFmtId="166" fontId="20" fillId="24" borderId="29" xfId="28" applyNumberFormat="1" applyFont="1" applyFill="1" applyBorder="1" applyProtection="1"/>
    <xf numFmtId="9" fontId="20" fillId="24" borderId="41" xfId="42" applyFont="1" applyFill="1" applyBorder="1" applyProtection="1"/>
    <xf numFmtId="4" fontId="20" fillId="24" borderId="29" xfId="28" applyFont="1" applyFill="1" applyBorder="1" applyProtection="1"/>
    <xf numFmtId="2" fontId="20" fillId="24" borderId="25" xfId="0" applyFont="1" applyFill="1" applyBorder="1"/>
    <xf numFmtId="3" fontId="20" fillId="24" borderId="41" xfId="28" applyNumberFormat="1" applyFont="1" applyFill="1" applyBorder="1" applyProtection="1"/>
    <xf numFmtId="4" fontId="20" fillId="24" borderId="43" xfId="28" applyNumberFormat="1" applyFont="1" applyFill="1" applyBorder="1" applyProtection="1"/>
    <xf numFmtId="2" fontId="20" fillId="24" borderId="29" xfId="0" applyFont="1" applyFill="1" applyBorder="1"/>
    <xf numFmtId="3" fontId="20" fillId="24" borderId="44" xfId="28" applyNumberFormat="1" applyFont="1" applyFill="1" applyBorder="1" applyProtection="1"/>
    <xf numFmtId="2" fontId="20" fillId="24" borderId="32" xfId="0" applyFont="1" applyFill="1" applyBorder="1"/>
    <xf numFmtId="3" fontId="20" fillId="24" borderId="45" xfId="28" applyNumberFormat="1" applyFont="1" applyFill="1" applyBorder="1" applyProtection="1"/>
    <xf numFmtId="2" fontId="20" fillId="24" borderId="31" xfId="0" applyFont="1" applyFill="1" applyBorder="1"/>
    <xf numFmtId="3" fontId="20" fillId="24" borderId="43" xfId="28" applyNumberFormat="1" applyFont="1" applyFill="1" applyBorder="1" applyProtection="1"/>
    <xf numFmtId="3" fontId="20" fillId="24" borderId="18" xfId="28" applyNumberFormat="1" applyFont="1" applyFill="1" applyBorder="1" applyProtection="1"/>
    <xf numFmtId="2" fontId="20" fillId="24" borderId="30" xfId="0" applyFont="1" applyFill="1" applyBorder="1"/>
    <xf numFmtId="4" fontId="20" fillId="24" borderId="41" xfId="28" applyNumberFormat="1" applyFont="1" applyFill="1" applyBorder="1" applyProtection="1"/>
    <xf numFmtId="3" fontId="20" fillId="24" borderId="43" xfId="28" applyNumberFormat="1" applyFont="1" applyFill="1" applyBorder="1"/>
    <xf numFmtId="3" fontId="20" fillId="24" borderId="44" xfId="28" applyNumberFormat="1" applyFont="1" applyFill="1" applyBorder="1"/>
    <xf numFmtId="3" fontId="20" fillId="24" borderId="46" xfId="28" applyNumberFormat="1" applyFont="1" applyFill="1" applyBorder="1"/>
    <xf numFmtId="2" fontId="20" fillId="24" borderId="33" xfId="0" applyFont="1" applyFill="1" applyBorder="1"/>
    <xf numFmtId="5" fontId="20" fillId="24" borderId="46" xfId="29" applyNumberFormat="1" applyFont="1" applyFill="1" applyBorder="1"/>
    <xf numFmtId="37" fontId="20" fillId="24" borderId="43" xfId="29" applyNumberFormat="1" applyFont="1" applyFill="1" applyBorder="1" applyProtection="1"/>
    <xf numFmtId="3" fontId="23" fillId="24" borderId="41" xfId="28" applyNumberFormat="1" applyFont="1" applyFill="1" applyBorder="1" applyProtection="1"/>
    <xf numFmtId="2" fontId="26" fillId="24" borderId="41" xfId="0" applyFont="1" applyFill="1" applyBorder="1" applyAlignment="1">
      <alignment horizontal="centerContinuous"/>
    </xf>
    <xf numFmtId="2" fontId="26" fillId="0" borderId="34" xfId="0" applyFont="1" applyBorder="1" applyAlignment="1">
      <alignment horizontal="centerContinuous"/>
    </xf>
    <xf numFmtId="166" fontId="20" fillId="0" borderId="26" xfId="42" applyNumberFormat="1" applyFont="1" applyBorder="1" applyAlignment="1" applyProtection="1">
      <alignment horizontal="center"/>
    </xf>
    <xf numFmtId="166" fontId="20" fillId="0" borderId="29" xfId="42" applyNumberFormat="1" applyFont="1" applyBorder="1" applyAlignment="1" applyProtection="1">
      <alignment horizontal="right"/>
    </xf>
    <xf numFmtId="166" fontId="20" fillId="0" borderId="30" xfId="42" applyNumberFormat="1" applyFont="1" applyBorder="1" applyAlignment="1" applyProtection="1">
      <alignment horizontal="right"/>
    </xf>
    <xf numFmtId="166" fontId="20" fillId="0" borderId="25" xfId="42" applyNumberFormat="1" applyFont="1" applyBorder="1"/>
    <xf numFmtId="166" fontId="20" fillId="0" borderId="31" xfId="42" applyNumberFormat="1" applyFont="1" applyBorder="1" applyProtection="1"/>
    <xf numFmtId="166" fontId="20" fillId="0" borderId="29" xfId="42" applyNumberFormat="1" applyFont="1" applyBorder="1" applyProtection="1"/>
    <xf numFmtId="166" fontId="20" fillId="0" borderId="32" xfId="42" applyNumberFormat="1" applyFont="1" applyBorder="1" applyProtection="1"/>
    <xf numFmtId="166" fontId="20" fillId="0" borderId="30" xfId="42" applyNumberFormat="1" applyFont="1" applyBorder="1" applyProtection="1"/>
    <xf numFmtId="166" fontId="20" fillId="0" borderId="25" xfId="42" applyNumberFormat="1" applyFont="1" applyBorder="1" applyProtection="1"/>
    <xf numFmtId="166" fontId="20" fillId="0" borderId="29" xfId="42" applyNumberFormat="1" applyFont="1" applyBorder="1"/>
    <xf numFmtId="166" fontId="20" fillId="0" borderId="30" xfId="42" applyNumberFormat="1" applyFont="1" applyBorder="1"/>
    <xf numFmtId="166" fontId="20" fillId="0" borderId="33" xfId="42" applyNumberFormat="1" applyFont="1" applyBorder="1"/>
    <xf numFmtId="5" fontId="20" fillId="0" borderId="34" xfId="29" applyNumberFormat="1" applyFont="1" applyBorder="1"/>
    <xf numFmtId="166" fontId="20" fillId="0" borderId="29" xfId="28" applyNumberFormat="1" applyFont="1" applyBorder="1" applyAlignment="1" applyProtection="1">
      <alignment horizontal="left"/>
    </xf>
    <xf numFmtId="166" fontId="20" fillId="0" borderId="33" xfId="42" applyNumberFormat="1" applyFont="1" applyBorder="1" applyProtection="1"/>
    <xf numFmtId="166" fontId="20" fillId="0" borderId="29" xfId="28" applyNumberFormat="1" applyFont="1" applyBorder="1" applyProtection="1"/>
    <xf numFmtId="4" fontId="20" fillId="0" borderId="29" xfId="28" applyFont="1" applyBorder="1" applyProtection="1"/>
    <xf numFmtId="2" fontId="20" fillId="0" borderId="25" xfId="0" applyFont="1" applyBorder="1"/>
    <xf numFmtId="2" fontId="20" fillId="0" borderId="29" xfId="0" applyFont="1" applyBorder="1"/>
    <xf numFmtId="2" fontId="20" fillId="0" borderId="32" xfId="0" applyFont="1" applyBorder="1"/>
    <xf numFmtId="2" fontId="20" fillId="0" borderId="31" xfId="0" applyFont="1" applyBorder="1"/>
    <xf numFmtId="2" fontId="20" fillId="0" borderId="30" xfId="0" applyFont="1" applyBorder="1"/>
    <xf numFmtId="2" fontId="20" fillId="0" borderId="33" xfId="0" applyFont="1" applyBorder="1"/>
    <xf numFmtId="2" fontId="21" fillId="0" borderId="0" xfId="0" applyFont="1" applyFill="1" applyBorder="1"/>
    <xf numFmtId="2" fontId="0" fillId="0" borderId="0" xfId="0" applyFill="1"/>
    <xf numFmtId="168" fontId="23" fillId="0" borderId="59" xfId="0" applyNumberFormat="1" applyFont="1" applyBorder="1" applyAlignment="1" applyProtection="1">
      <alignment horizontal="left"/>
    </xf>
    <xf numFmtId="164" fontId="20" fillId="0" borderId="60" xfId="29" applyNumberFormat="1" applyFont="1" applyBorder="1" applyProtection="1"/>
    <xf numFmtId="166" fontId="20" fillId="0" borderId="59" xfId="42" applyNumberFormat="1" applyFont="1" applyBorder="1" applyProtection="1"/>
    <xf numFmtId="164" fontId="20" fillId="24" borderId="61" xfId="29" applyNumberFormat="1" applyFont="1" applyFill="1" applyBorder="1" applyProtection="1"/>
    <xf numFmtId="166" fontId="20" fillId="24" borderId="62" xfId="42" applyNumberFormat="1" applyFont="1" applyFill="1" applyBorder="1" applyProtection="1"/>
    <xf numFmtId="164" fontId="20" fillId="0" borderId="63" xfId="29" applyNumberFormat="1" applyFont="1" applyBorder="1" applyProtection="1"/>
    <xf numFmtId="166" fontId="20" fillId="0" borderId="62" xfId="42" applyNumberFormat="1" applyFont="1" applyBorder="1" applyProtection="1"/>
    <xf numFmtId="166" fontId="23" fillId="0" borderId="25" xfId="42" applyNumberFormat="1" applyFont="1" applyFill="1" applyBorder="1" applyAlignment="1">
      <alignment horizontal="centerContinuous"/>
    </xf>
    <xf numFmtId="166" fontId="23" fillId="0" borderId="26" xfId="42" applyNumberFormat="1" applyFont="1" applyFill="1" applyBorder="1" applyAlignment="1" applyProtection="1">
      <alignment horizontal="center"/>
    </xf>
    <xf numFmtId="166" fontId="23" fillId="0" borderId="25" xfId="0" applyNumberFormat="1" applyFont="1" applyFill="1" applyBorder="1"/>
    <xf numFmtId="166" fontId="23" fillId="0" borderId="25" xfId="42" applyNumberFormat="1" applyFont="1" applyFill="1" applyBorder="1"/>
    <xf numFmtId="166" fontId="23" fillId="0" borderId="29" xfId="42" applyNumberFormat="1" applyFont="1" applyFill="1" applyBorder="1" applyProtection="1"/>
    <xf numFmtId="166" fontId="23" fillId="0" borderId="32" xfId="42" applyNumberFormat="1" applyFont="1" applyFill="1" applyBorder="1" applyProtection="1"/>
    <xf numFmtId="166" fontId="23" fillId="0" borderId="30" xfId="42" applyNumberFormat="1" applyFont="1" applyFill="1" applyBorder="1" applyProtection="1"/>
    <xf numFmtId="166" fontId="23" fillId="0" borderId="25" xfId="42" applyNumberFormat="1" applyFont="1" applyFill="1" applyBorder="1" applyProtection="1"/>
    <xf numFmtId="166" fontId="23" fillId="0" borderId="29" xfId="42" applyNumberFormat="1" applyFont="1" applyFill="1" applyBorder="1"/>
    <xf numFmtId="166" fontId="23" fillId="0" borderId="31" xfId="42" applyNumberFormat="1" applyFont="1" applyFill="1" applyBorder="1" applyProtection="1"/>
    <xf numFmtId="166" fontId="23" fillId="0" borderId="30" xfId="42" applyNumberFormat="1" applyFont="1" applyFill="1" applyBorder="1"/>
    <xf numFmtId="166" fontId="23" fillId="0" borderId="62" xfId="42" applyNumberFormat="1" applyFont="1" applyFill="1" applyBorder="1" applyProtection="1"/>
    <xf numFmtId="166" fontId="23" fillId="0" borderId="33" xfId="42" applyNumberFormat="1" applyFont="1" applyFill="1" applyBorder="1"/>
    <xf numFmtId="166" fontId="23" fillId="0" borderId="29" xfId="28" applyNumberFormat="1" applyFont="1" applyFill="1" applyBorder="1" applyAlignment="1" applyProtection="1">
      <alignment horizontal="left"/>
    </xf>
    <xf numFmtId="166" fontId="23" fillId="0" borderId="33" xfId="42" applyNumberFormat="1" applyFont="1" applyFill="1" applyBorder="1" applyProtection="1"/>
    <xf numFmtId="166" fontId="23" fillId="0" borderId="29" xfId="28" applyNumberFormat="1" applyFont="1" applyFill="1" applyBorder="1" applyProtection="1"/>
    <xf numFmtId="4" fontId="23" fillId="0" borderId="29" xfId="28" applyFont="1" applyFill="1" applyBorder="1" applyProtection="1"/>
    <xf numFmtId="2" fontId="23" fillId="0" borderId="25" xfId="0" applyFont="1" applyFill="1" applyBorder="1"/>
    <xf numFmtId="2" fontId="23" fillId="0" borderId="29" xfId="0" applyFont="1" applyFill="1" applyBorder="1"/>
    <xf numFmtId="2" fontId="23" fillId="0" borderId="30" xfId="0" applyFont="1" applyFill="1" applyBorder="1"/>
    <xf numFmtId="2" fontId="23" fillId="0" borderId="33" xfId="0" applyFont="1" applyFill="1" applyBorder="1"/>
    <xf numFmtId="2" fontId="27" fillId="0" borderId="0" xfId="0" applyFont="1"/>
    <xf numFmtId="4" fontId="20" fillId="0" borderId="21" xfId="28" applyFont="1" applyBorder="1" applyProtection="1"/>
    <xf numFmtId="4" fontId="20" fillId="24" borderId="44" xfId="28" applyFont="1" applyFill="1" applyBorder="1" applyProtection="1"/>
    <xf numFmtId="4" fontId="20" fillId="0" borderId="37" xfId="28" applyFont="1" applyBorder="1" applyProtection="1"/>
    <xf numFmtId="168" fontId="10" fillId="0" borderId="0" xfId="0" quotePrefix="1" applyNumberFormat="1" applyFont="1"/>
    <xf numFmtId="5" fontId="20" fillId="0" borderId="10" xfId="29" applyNumberFormat="1" applyFont="1" applyBorder="1"/>
    <xf numFmtId="5" fontId="20" fillId="24" borderId="41" xfId="29" applyNumberFormat="1" applyFont="1" applyFill="1" applyBorder="1"/>
    <xf numFmtId="168" fontId="23" fillId="0" borderId="30" xfId="0" applyNumberFormat="1" applyFont="1" applyBorder="1" applyAlignment="1">
      <alignment horizontal="left"/>
    </xf>
    <xf numFmtId="5" fontId="20" fillId="0" borderId="67" xfId="29" applyNumberFormat="1" applyFont="1" applyBorder="1"/>
    <xf numFmtId="166" fontId="20" fillId="0" borderId="67" xfId="42" applyNumberFormat="1" applyFont="1" applyBorder="1"/>
    <xf numFmtId="5" fontId="20" fillId="24" borderId="67" xfId="29" applyNumberFormat="1" applyFont="1" applyFill="1" applyBorder="1"/>
    <xf numFmtId="166" fontId="20" fillId="24" borderId="67" xfId="42" applyNumberFormat="1" applyFont="1" applyFill="1" applyBorder="1"/>
    <xf numFmtId="168" fontId="23" fillId="0" borderId="33" xfId="0" applyNumberFormat="1" applyFont="1" applyBorder="1" applyAlignment="1">
      <alignment horizontal="left"/>
    </xf>
    <xf numFmtId="5" fontId="20" fillId="0" borderId="68" xfId="29" applyNumberFormat="1" applyFont="1" applyBorder="1"/>
    <xf numFmtId="166" fontId="20" fillId="0" borderId="68" xfId="42" applyNumberFormat="1" applyFont="1" applyBorder="1"/>
    <xf numFmtId="5" fontId="20" fillId="24" borderId="68" xfId="29" applyNumberFormat="1" applyFont="1" applyFill="1" applyBorder="1"/>
    <xf numFmtId="166" fontId="20" fillId="24" borderId="68" xfId="42" applyNumberFormat="1" applyFont="1" applyFill="1" applyBorder="1"/>
    <xf numFmtId="49" fontId="23" fillId="0" borderId="12" xfId="0" applyNumberFormat="1" applyFont="1" applyBorder="1" applyAlignment="1">
      <alignment horizontal="center"/>
    </xf>
    <xf numFmtId="168" fontId="22" fillId="0" borderId="69" xfId="28" applyNumberFormat="1" applyFont="1" applyBorder="1" applyAlignment="1">
      <alignment horizontal="center"/>
    </xf>
    <xf numFmtId="168" fontId="22" fillId="0" borderId="38" xfId="28" applyNumberFormat="1" applyFont="1" applyBorder="1" applyAlignment="1">
      <alignment horizontal="center"/>
    </xf>
    <xf numFmtId="168" fontId="22" fillId="0" borderId="0" xfId="28" applyNumberFormat="1" applyFont="1" applyBorder="1" applyAlignment="1">
      <alignment horizontal="center"/>
    </xf>
    <xf numFmtId="168" fontId="22" fillId="0" borderId="63" xfId="28" applyNumberFormat="1" applyFont="1" applyBorder="1" applyAlignment="1">
      <alignment horizontal="center"/>
    </xf>
    <xf numFmtId="168" fontId="22" fillId="0" borderId="70" xfId="28" applyNumberFormat="1" applyFont="1" applyBorder="1" applyAlignment="1">
      <alignment horizontal="center"/>
    </xf>
    <xf numFmtId="168" fontId="22" fillId="0" borderId="40" xfId="28" applyNumberFormat="1" applyFont="1" applyBorder="1" applyAlignment="1">
      <alignment horizontal="center"/>
    </xf>
    <xf numFmtId="49" fontId="22" fillId="0" borderId="21" xfId="28" applyNumberFormat="1" applyFont="1" applyBorder="1" applyAlignment="1">
      <alignment horizontal="center"/>
    </xf>
    <xf numFmtId="49" fontId="22" fillId="0" borderId="22" xfId="28" applyNumberFormat="1" applyFont="1" applyBorder="1" applyAlignment="1">
      <alignment horizontal="center"/>
    </xf>
    <xf numFmtId="5" fontId="20" fillId="0" borderId="22" xfId="29" applyNumberFormat="1" applyFont="1" applyBorder="1" applyAlignment="1" applyProtection="1">
      <alignment horizontal="right"/>
    </xf>
    <xf numFmtId="5" fontId="20" fillId="24" borderId="45" xfId="29" applyNumberFormat="1" applyFont="1" applyFill="1" applyBorder="1" applyAlignment="1" applyProtection="1">
      <alignment horizontal="right"/>
    </xf>
    <xf numFmtId="5" fontId="20" fillId="0" borderId="39" xfId="29" applyNumberFormat="1" applyFont="1" applyBorder="1" applyAlignment="1" applyProtection="1">
      <alignment horizontal="right"/>
    </xf>
    <xf numFmtId="168" fontId="22" fillId="0" borderId="71" xfId="28" applyNumberFormat="1" applyFont="1" applyBorder="1" applyAlignment="1">
      <alignment horizontal="center"/>
    </xf>
    <xf numFmtId="49" fontId="22" fillId="0" borderId="14" xfId="28" applyNumberFormat="1" applyFont="1" applyBorder="1" applyAlignment="1">
      <alignment horizontal="center"/>
    </xf>
    <xf numFmtId="166" fontId="20" fillId="0" borderId="73" xfId="42" applyNumberFormat="1" applyFont="1" applyBorder="1"/>
    <xf numFmtId="166" fontId="20" fillId="0" borderId="74" xfId="42" applyNumberFormat="1" applyFont="1" applyBorder="1"/>
    <xf numFmtId="164" fontId="20" fillId="0" borderId="41" xfId="29" applyNumberFormat="1" applyFont="1" applyBorder="1" applyAlignment="1" applyProtection="1">
      <alignment horizontal="centerContinuous"/>
    </xf>
    <xf numFmtId="166" fontId="20" fillId="0" borderId="25" xfId="42" applyNumberFormat="1" applyFont="1" applyBorder="1" applyAlignment="1">
      <alignment horizontal="centerContinuous"/>
    </xf>
    <xf numFmtId="2" fontId="26" fillId="0" borderId="41" xfId="0" applyFont="1" applyBorder="1" applyAlignment="1">
      <alignment horizontal="centerContinuous"/>
    </xf>
    <xf numFmtId="166" fontId="20" fillId="0" borderId="25" xfId="0" applyNumberFormat="1" applyFont="1" applyBorder="1" applyAlignment="1">
      <alignment horizontal="centerContinuous"/>
    </xf>
    <xf numFmtId="164" fontId="20" fillId="0" borderId="42" xfId="29" applyNumberFormat="1" applyFont="1" applyBorder="1" applyAlignment="1" applyProtection="1">
      <alignment horizontal="center"/>
    </xf>
    <xf numFmtId="2" fontId="23" fillId="0" borderId="41" xfId="0" applyFont="1" applyBorder="1"/>
    <xf numFmtId="164" fontId="20" fillId="0" borderId="43" xfId="29" applyNumberFormat="1" applyFont="1" applyBorder="1" applyAlignment="1" applyProtection="1">
      <alignment horizontal="right"/>
    </xf>
    <xf numFmtId="164" fontId="20" fillId="0" borderId="44" xfId="29" applyNumberFormat="1" applyFont="1" applyBorder="1" applyAlignment="1" applyProtection="1">
      <alignment horizontal="right"/>
    </xf>
    <xf numFmtId="164" fontId="20" fillId="0" borderId="18" xfId="29" applyNumberFormat="1" applyFont="1" applyBorder="1" applyAlignment="1" applyProtection="1">
      <alignment horizontal="right"/>
    </xf>
    <xf numFmtId="5" fontId="20" fillId="0" borderId="45" xfId="29" applyNumberFormat="1" applyFont="1" applyBorder="1" applyAlignment="1" applyProtection="1">
      <alignment horizontal="right"/>
    </xf>
    <xf numFmtId="164" fontId="20" fillId="0" borderId="41" xfId="29" applyNumberFormat="1" applyFont="1" applyBorder="1" applyProtection="1"/>
    <xf numFmtId="164" fontId="20" fillId="0" borderId="43" xfId="29" applyNumberFormat="1" applyFont="1" applyBorder="1" applyProtection="1"/>
    <xf numFmtId="5" fontId="20" fillId="0" borderId="43" xfId="29" applyNumberFormat="1" applyFont="1" applyBorder="1" applyProtection="1"/>
    <xf numFmtId="164" fontId="20" fillId="0" borderId="44" xfId="29" applyNumberFormat="1" applyFont="1" applyBorder="1" applyProtection="1"/>
    <xf numFmtId="164" fontId="20" fillId="0" borderId="18" xfId="29" applyNumberFormat="1" applyFont="1" applyBorder="1" applyProtection="1"/>
    <xf numFmtId="164" fontId="20" fillId="0" borderId="41" xfId="29" applyNumberFormat="1" applyFont="1" applyBorder="1"/>
    <xf numFmtId="5" fontId="20" fillId="0" borderId="18" xfId="29" applyNumberFormat="1" applyFont="1" applyBorder="1" applyProtection="1"/>
    <xf numFmtId="164" fontId="20" fillId="0" borderId="43" xfId="29" applyNumberFormat="1" applyFont="1" applyBorder="1"/>
    <xf numFmtId="164" fontId="20" fillId="0" borderId="45" xfId="29" applyNumberFormat="1" applyFont="1" applyBorder="1" applyProtection="1"/>
    <xf numFmtId="164" fontId="20" fillId="0" borderId="18" xfId="29" applyNumberFormat="1" applyFont="1" applyBorder="1"/>
    <xf numFmtId="164" fontId="20" fillId="0" borderId="61" xfId="29" applyNumberFormat="1" applyFont="1" applyBorder="1" applyProtection="1"/>
    <xf numFmtId="5" fontId="20" fillId="0" borderId="46" xfId="29" applyNumberFormat="1" applyFont="1" applyBorder="1"/>
    <xf numFmtId="5" fontId="20" fillId="0" borderId="41" xfId="29" applyNumberFormat="1" applyFont="1" applyBorder="1"/>
    <xf numFmtId="4" fontId="20" fillId="0" borderId="43" xfId="28" applyFont="1" applyBorder="1" applyProtection="1"/>
    <xf numFmtId="164" fontId="20" fillId="0" borderId="46" xfId="29" applyNumberFormat="1" applyFont="1" applyBorder="1" applyProtection="1"/>
    <xf numFmtId="166" fontId="20" fillId="0" borderId="41" xfId="42" applyNumberFormat="1" applyFont="1" applyBorder="1" applyProtection="1"/>
    <xf numFmtId="9" fontId="20" fillId="0" borderId="41" xfId="42" applyFont="1" applyBorder="1" applyProtection="1"/>
    <xf numFmtId="4" fontId="20" fillId="0" borderId="44" xfId="28" applyFont="1" applyBorder="1" applyProtection="1"/>
    <xf numFmtId="3" fontId="20" fillId="0" borderId="41" xfId="28" applyNumberFormat="1" applyFont="1" applyBorder="1" applyProtection="1"/>
    <xf numFmtId="4" fontId="20" fillId="0" borderId="43" xfId="28" applyNumberFormat="1" applyFont="1" applyBorder="1" applyProtection="1"/>
    <xf numFmtId="3" fontId="20" fillId="0" borderId="43" xfId="28" applyNumberFormat="1" applyFont="1" applyBorder="1" applyProtection="1"/>
    <xf numFmtId="3" fontId="20" fillId="0" borderId="45" xfId="28" applyNumberFormat="1" applyFont="1" applyBorder="1" applyProtection="1"/>
    <xf numFmtId="3" fontId="20" fillId="0" borderId="44" xfId="28" applyNumberFormat="1" applyFont="1" applyBorder="1" applyProtection="1"/>
    <xf numFmtId="4" fontId="20" fillId="0" borderId="41" xfId="28" applyNumberFormat="1" applyFont="1" applyBorder="1" applyProtection="1"/>
    <xf numFmtId="3" fontId="20" fillId="0" borderId="43" xfId="28" applyNumberFormat="1" applyFont="1" applyBorder="1"/>
    <xf numFmtId="3" fontId="20" fillId="0" borderId="44" xfId="28" applyNumberFormat="1" applyFont="1" applyBorder="1"/>
    <xf numFmtId="3" fontId="20" fillId="0" borderId="46" xfId="28" applyNumberFormat="1" applyFont="1" applyBorder="1"/>
    <xf numFmtId="5" fontId="20" fillId="0" borderId="10" xfId="29" applyNumberFormat="1" applyFont="1" applyBorder="1" applyAlignment="1" applyProtection="1">
      <alignment horizontal="right"/>
    </xf>
    <xf numFmtId="166" fontId="20" fillId="0" borderId="11" xfId="42" applyNumberFormat="1" applyFont="1" applyBorder="1" applyAlignment="1" applyProtection="1">
      <alignment horizontal="right"/>
    </xf>
    <xf numFmtId="5" fontId="20" fillId="24" borderId="41" xfId="29" applyNumberFormat="1" applyFont="1" applyFill="1" applyBorder="1" applyAlignment="1" applyProtection="1">
      <alignment horizontal="right"/>
    </xf>
    <xf numFmtId="5" fontId="20" fillId="0" borderId="34" xfId="29" applyNumberFormat="1" applyFont="1" applyBorder="1" applyAlignment="1" applyProtection="1">
      <alignment horizontal="right"/>
    </xf>
    <xf numFmtId="166" fontId="20" fillId="24" borderId="25" xfId="42" applyNumberFormat="1" applyFont="1" applyFill="1" applyBorder="1" applyAlignment="1" applyProtection="1">
      <alignment horizontal="right"/>
    </xf>
    <xf numFmtId="5" fontId="20" fillId="0" borderId="41" xfId="29" applyNumberFormat="1" applyFont="1" applyBorder="1" applyAlignment="1" applyProtection="1">
      <alignment horizontal="right"/>
    </xf>
    <xf numFmtId="166" fontId="20" fillId="0" borderId="25" xfId="42" applyNumberFormat="1" applyFont="1" applyBorder="1" applyAlignment="1" applyProtection="1">
      <alignment horizontal="right"/>
    </xf>
    <xf numFmtId="39" fontId="10" fillId="0" borderId="0" xfId="0" applyNumberFormat="1" applyFont="1"/>
    <xf numFmtId="164" fontId="20" fillId="0" borderId="34" xfId="29" applyNumberFormat="1" applyFont="1" applyFill="1" applyBorder="1" applyAlignment="1" applyProtection="1">
      <alignment horizontal="centerContinuous"/>
    </xf>
    <xf numFmtId="166" fontId="20" fillId="0" borderId="25" xfId="42" applyNumberFormat="1" applyFont="1" applyFill="1" applyBorder="1" applyAlignment="1">
      <alignment horizontal="centerContinuous"/>
    </xf>
    <xf numFmtId="2" fontId="26" fillId="0" borderId="34" xfId="0" applyFont="1" applyFill="1" applyBorder="1" applyAlignment="1">
      <alignment horizontal="centerContinuous"/>
    </xf>
    <xf numFmtId="166" fontId="20" fillId="0" borderId="25" xfId="0" applyNumberFormat="1" applyFont="1" applyFill="1" applyBorder="1" applyAlignment="1">
      <alignment horizontal="centerContinuous"/>
    </xf>
    <xf numFmtId="164" fontId="20" fillId="0" borderId="36" xfId="29" applyNumberFormat="1" applyFont="1" applyFill="1" applyBorder="1" applyAlignment="1" applyProtection="1">
      <alignment horizontal="center"/>
    </xf>
    <xf numFmtId="166" fontId="20" fillId="0" borderId="26" xfId="42" applyNumberFormat="1" applyFont="1" applyFill="1" applyBorder="1" applyAlignment="1" applyProtection="1">
      <alignment horizontal="center"/>
    </xf>
    <xf numFmtId="2" fontId="20" fillId="0" borderId="34" xfId="0" applyFont="1" applyFill="1" applyBorder="1"/>
    <xf numFmtId="166" fontId="20" fillId="0" borderId="25" xfId="0" applyNumberFormat="1" applyFont="1" applyFill="1" applyBorder="1"/>
    <xf numFmtId="164" fontId="20" fillId="0" borderId="35" xfId="29" applyNumberFormat="1" applyFont="1" applyFill="1" applyBorder="1" applyAlignment="1" applyProtection="1">
      <alignment horizontal="right"/>
    </xf>
    <xf numFmtId="164" fontId="20" fillId="0" borderId="37" xfId="29" applyNumberFormat="1" applyFont="1" applyFill="1" applyBorder="1" applyAlignment="1" applyProtection="1">
      <alignment horizontal="right"/>
    </xf>
    <xf numFmtId="164" fontId="20" fillId="0" borderId="38" xfId="29" applyNumberFormat="1" applyFont="1" applyFill="1" applyBorder="1" applyAlignment="1" applyProtection="1">
      <alignment horizontal="right"/>
    </xf>
    <xf numFmtId="5" fontId="20" fillId="0" borderId="39" xfId="29" applyNumberFormat="1" applyFont="1" applyFill="1" applyBorder="1" applyAlignment="1" applyProtection="1">
      <alignment horizontal="right"/>
    </xf>
    <xf numFmtId="5" fontId="20" fillId="0" borderId="34" xfId="29" applyNumberFormat="1" applyFont="1" applyFill="1" applyBorder="1" applyAlignment="1" applyProtection="1">
      <alignment horizontal="right"/>
    </xf>
    <xf numFmtId="164" fontId="20" fillId="0" borderId="34" xfId="29" applyNumberFormat="1" applyFont="1" applyFill="1" applyBorder="1" applyProtection="1"/>
    <xf numFmtId="166" fontId="20" fillId="0" borderId="25" xfId="42" applyNumberFormat="1" applyFont="1" applyFill="1" applyBorder="1"/>
    <xf numFmtId="164" fontId="20" fillId="0" borderId="35" xfId="29" applyNumberFormat="1" applyFont="1" applyFill="1" applyBorder="1" applyProtection="1"/>
    <xf numFmtId="166" fontId="20" fillId="0" borderId="29" xfId="42" applyNumberFormat="1" applyFont="1" applyFill="1" applyBorder="1" applyProtection="1"/>
    <xf numFmtId="5" fontId="20" fillId="0" borderId="35" xfId="29" applyNumberFormat="1" applyFont="1" applyFill="1" applyBorder="1" applyProtection="1"/>
    <xf numFmtId="164" fontId="20" fillId="0" borderId="37" xfId="29" applyNumberFormat="1" applyFont="1" applyFill="1" applyBorder="1" applyProtection="1"/>
    <xf numFmtId="166" fontId="20" fillId="0" borderId="32" xfId="42" applyNumberFormat="1" applyFont="1" applyFill="1" applyBorder="1" applyProtection="1"/>
    <xf numFmtId="166" fontId="20" fillId="0" borderId="30" xfId="42" applyNumberFormat="1" applyFont="1" applyFill="1" applyBorder="1" applyProtection="1"/>
    <xf numFmtId="166" fontId="20" fillId="0" borderId="25" xfId="42" applyNumberFormat="1" applyFont="1" applyFill="1" applyBorder="1" applyProtection="1"/>
    <xf numFmtId="164" fontId="20" fillId="0" borderId="38" xfId="29" applyNumberFormat="1" applyFont="1" applyFill="1" applyBorder="1" applyProtection="1"/>
    <xf numFmtId="164" fontId="20" fillId="0" borderId="34" xfId="29" applyNumberFormat="1" applyFont="1" applyFill="1" applyBorder="1"/>
    <xf numFmtId="5" fontId="20" fillId="0" borderId="38" xfId="29" applyNumberFormat="1" applyFont="1" applyFill="1" applyBorder="1" applyProtection="1"/>
    <xf numFmtId="164" fontId="20" fillId="0" borderId="35" xfId="29" applyNumberFormat="1" applyFont="1" applyFill="1" applyBorder="1"/>
    <xf numFmtId="166" fontId="20" fillId="0" borderId="29" xfId="42" applyNumberFormat="1" applyFont="1" applyFill="1" applyBorder="1"/>
    <xf numFmtId="164" fontId="20" fillId="0" borderId="39" xfId="29" applyNumberFormat="1" applyFont="1" applyFill="1" applyBorder="1" applyProtection="1"/>
    <xf numFmtId="166" fontId="20" fillId="0" borderId="31" xfId="42" applyNumberFormat="1" applyFont="1" applyFill="1" applyBorder="1" applyProtection="1"/>
    <xf numFmtId="164" fontId="20" fillId="0" borderId="38" xfId="29" applyNumberFormat="1" applyFont="1" applyFill="1" applyBorder="1"/>
    <xf numFmtId="166" fontId="20" fillId="0" borderId="30" xfId="42" applyNumberFormat="1" applyFont="1" applyFill="1" applyBorder="1"/>
    <xf numFmtId="164" fontId="20" fillId="0" borderId="63" xfId="29" applyNumberFormat="1" applyFont="1" applyFill="1" applyBorder="1" applyProtection="1"/>
    <xf numFmtId="166" fontId="20" fillId="0" borderId="62" xfId="42" applyNumberFormat="1" applyFont="1" applyFill="1" applyBorder="1" applyProtection="1"/>
    <xf numFmtId="5" fontId="20" fillId="0" borderId="40" xfId="29" applyNumberFormat="1" applyFont="1" applyFill="1" applyBorder="1"/>
    <xf numFmtId="166" fontId="20" fillId="0" borderId="33" xfId="42" applyNumberFormat="1" applyFont="1" applyFill="1" applyBorder="1"/>
    <xf numFmtId="5" fontId="20" fillId="0" borderId="34" xfId="29" applyNumberFormat="1" applyFont="1" applyFill="1" applyBorder="1"/>
    <xf numFmtId="5" fontId="20" fillId="0" borderId="71" xfId="29" applyNumberFormat="1" applyFont="1" applyFill="1" applyBorder="1"/>
    <xf numFmtId="5" fontId="20" fillId="0" borderId="75" xfId="29" applyNumberFormat="1" applyFont="1" applyFill="1" applyBorder="1"/>
    <xf numFmtId="4" fontId="20" fillId="0" borderId="35" xfId="28" applyFont="1" applyFill="1" applyBorder="1" applyProtection="1"/>
    <xf numFmtId="166" fontId="20" fillId="0" borderId="29" xfId="28" applyNumberFormat="1" applyFont="1" applyFill="1" applyBorder="1" applyAlignment="1" applyProtection="1">
      <alignment horizontal="left"/>
    </xf>
    <xf numFmtId="164" fontId="20" fillId="0" borderId="40" xfId="29" applyNumberFormat="1" applyFont="1" applyFill="1" applyBorder="1" applyProtection="1"/>
    <xf numFmtId="166" fontId="20" fillId="0" borderId="33" xfId="42" applyNumberFormat="1" applyFont="1" applyFill="1" applyBorder="1" applyProtection="1"/>
    <xf numFmtId="166" fontId="20" fillId="0" borderId="34" xfId="42" applyNumberFormat="1" applyFont="1" applyFill="1" applyBorder="1" applyProtection="1"/>
    <xf numFmtId="166" fontId="20" fillId="0" borderId="29" xfId="28" applyNumberFormat="1" applyFont="1" applyFill="1" applyBorder="1" applyProtection="1"/>
    <xf numFmtId="9" fontId="20" fillId="0" borderId="34" xfId="42" applyFont="1" applyFill="1" applyBorder="1" applyProtection="1"/>
    <xf numFmtId="4" fontId="20" fillId="0" borderId="37" xfId="28" applyFont="1" applyFill="1" applyBorder="1" applyProtection="1"/>
    <xf numFmtId="4" fontId="20" fillId="0" borderId="29" xfId="28" applyFont="1" applyFill="1" applyBorder="1" applyProtection="1"/>
    <xf numFmtId="2" fontId="20" fillId="0" borderId="25" xfId="0" applyFont="1" applyFill="1" applyBorder="1"/>
    <xf numFmtId="37" fontId="20" fillId="0" borderId="35" xfId="29" applyNumberFormat="1" applyFont="1" applyFill="1" applyBorder="1" applyProtection="1"/>
    <xf numFmtId="3" fontId="20" fillId="0" borderId="34" xfId="28" applyNumberFormat="1" applyFont="1" applyFill="1" applyBorder="1" applyProtection="1"/>
    <xf numFmtId="4" fontId="20" fillId="0" borderId="35" xfId="28" applyNumberFormat="1" applyFont="1" applyFill="1" applyBorder="1" applyProtection="1"/>
    <xf numFmtId="2" fontId="20" fillId="0" borderId="29" xfId="0" applyFont="1" applyFill="1" applyBorder="1"/>
    <xf numFmtId="3" fontId="20" fillId="0" borderId="35" xfId="28" applyNumberFormat="1" applyFont="1" applyFill="1" applyBorder="1" applyProtection="1"/>
    <xf numFmtId="3" fontId="20" fillId="0" borderId="39" xfId="28" applyNumberFormat="1" applyFont="1" applyFill="1" applyBorder="1" applyProtection="1"/>
    <xf numFmtId="2" fontId="20" fillId="0" borderId="31" xfId="0" applyFont="1" applyFill="1" applyBorder="1"/>
    <xf numFmtId="3" fontId="20" fillId="0" borderId="37" xfId="28" applyNumberFormat="1" applyFont="1" applyFill="1" applyBorder="1" applyProtection="1"/>
    <xf numFmtId="2" fontId="20" fillId="0" borderId="32" xfId="0" applyFont="1" applyFill="1" applyBorder="1"/>
    <xf numFmtId="3" fontId="20" fillId="0" borderId="38" xfId="28" applyNumberFormat="1" applyFont="1" applyFill="1" applyBorder="1" applyProtection="1"/>
    <xf numFmtId="2" fontId="20" fillId="0" borderId="30" xfId="0" applyFont="1" applyFill="1" applyBorder="1"/>
    <xf numFmtId="4" fontId="20" fillId="0" borderId="34" xfId="28" applyNumberFormat="1" applyFont="1" applyFill="1" applyBorder="1" applyProtection="1"/>
    <xf numFmtId="3" fontId="20" fillId="0" borderId="35" xfId="28" applyNumberFormat="1" applyFont="1" applyFill="1" applyBorder="1"/>
    <xf numFmtId="3" fontId="20" fillId="0" borderId="37" xfId="28" applyNumberFormat="1" applyFont="1" applyFill="1" applyBorder="1"/>
    <xf numFmtId="3" fontId="20" fillId="0" borderId="40" xfId="28" applyNumberFormat="1" applyFont="1" applyFill="1" applyBorder="1"/>
    <xf numFmtId="2" fontId="20" fillId="0" borderId="33" xfId="0" applyFont="1" applyFill="1" applyBorder="1"/>
    <xf numFmtId="2" fontId="11" fillId="0" borderId="0" xfId="0" applyFont="1"/>
    <xf numFmtId="2" fontId="11" fillId="0" borderId="0" xfId="0" applyFont="1" applyFill="1" applyBorder="1"/>
    <xf numFmtId="2" fontId="11" fillId="0" borderId="0" xfId="0" applyFont="1" applyFill="1"/>
    <xf numFmtId="166" fontId="20" fillId="0" borderId="29" xfId="42" applyNumberFormat="1" applyFont="1" applyFill="1" applyBorder="1" applyAlignment="1" applyProtection="1">
      <alignment horizontal="right"/>
    </xf>
    <xf numFmtId="166" fontId="20" fillId="0" borderId="30" xfId="42" applyNumberFormat="1" applyFont="1" applyFill="1" applyBorder="1" applyAlignment="1" applyProtection="1">
      <alignment horizontal="right"/>
    </xf>
    <xf numFmtId="166" fontId="20" fillId="0" borderId="25" xfId="42" applyNumberFormat="1" applyFont="1" applyFill="1" applyBorder="1" applyAlignment="1" applyProtection="1">
      <alignment horizontal="right"/>
    </xf>
    <xf numFmtId="166" fontId="20" fillId="0" borderId="54" xfId="42" applyNumberFormat="1" applyFont="1" applyFill="1" applyBorder="1"/>
    <xf numFmtId="166" fontId="20" fillId="0" borderId="56" xfId="42" applyNumberFormat="1" applyFont="1" applyFill="1" applyBorder="1"/>
    <xf numFmtId="168" fontId="10" fillId="0" borderId="0" xfId="0" applyNumberFormat="1" applyFont="1" applyFill="1" applyBorder="1"/>
    <xf numFmtId="168" fontId="10" fillId="0" borderId="0" xfId="0" applyNumberFormat="1" applyFont="1" applyFill="1"/>
    <xf numFmtId="5" fontId="20" fillId="0" borderId="94" xfId="29" applyNumberFormat="1" applyFont="1" applyBorder="1"/>
    <xf numFmtId="5" fontId="20" fillId="0" borderId="95" xfId="29" applyNumberFormat="1" applyFont="1" applyBorder="1"/>
    <xf numFmtId="164" fontId="23" fillId="0" borderId="78" xfId="29" applyNumberFormat="1" applyFont="1" applyFill="1" applyBorder="1" applyAlignment="1" applyProtection="1">
      <alignment horizontal="center"/>
    </xf>
    <xf numFmtId="5" fontId="23" fillId="0" borderId="85" xfId="29" applyNumberFormat="1" applyFont="1" applyFill="1" applyBorder="1" applyAlignment="1" applyProtection="1">
      <alignment horizontal="right"/>
    </xf>
    <xf numFmtId="5" fontId="23" fillId="0" borderId="76" xfId="29" applyNumberFormat="1" applyFont="1" applyFill="1" applyBorder="1" applyAlignment="1" applyProtection="1">
      <alignment horizontal="right"/>
    </xf>
    <xf numFmtId="164" fontId="23" fillId="0" borderId="76" xfId="29" applyNumberFormat="1" applyFont="1" applyFill="1" applyBorder="1" applyProtection="1"/>
    <xf numFmtId="164" fontId="23" fillId="0" borderId="80" xfId="29" applyNumberFormat="1" applyFont="1" applyFill="1" applyBorder="1" applyProtection="1"/>
    <xf numFmtId="5" fontId="23" fillId="0" borderId="80" xfId="29" applyNumberFormat="1" applyFont="1" applyFill="1" applyBorder="1" applyProtection="1"/>
    <xf numFmtId="164" fontId="23" fillId="0" borderId="82" xfId="29" applyNumberFormat="1" applyFont="1" applyFill="1" applyBorder="1" applyProtection="1"/>
    <xf numFmtId="5" fontId="23" fillId="0" borderId="83" xfId="29" applyNumberFormat="1" applyFont="1" applyFill="1" applyBorder="1" applyProtection="1"/>
    <xf numFmtId="5" fontId="23" fillId="0" borderId="80" xfId="29" applyNumberFormat="1" applyFont="1" applyFill="1" applyBorder="1"/>
    <xf numFmtId="5" fontId="23" fillId="0" borderId="82" xfId="29" applyNumberFormat="1" applyFont="1" applyFill="1" applyBorder="1" applyProtection="1"/>
    <xf numFmtId="164" fontId="23" fillId="0" borderId="85" xfId="29" applyNumberFormat="1" applyFont="1" applyFill="1" applyBorder="1" applyProtection="1"/>
    <xf numFmtId="5" fontId="23" fillId="0" borderId="89" xfId="29" applyNumberFormat="1" applyFont="1" applyFill="1" applyBorder="1"/>
    <xf numFmtId="5" fontId="23" fillId="0" borderId="76" xfId="29" applyNumberFormat="1" applyFont="1" applyFill="1" applyBorder="1"/>
    <xf numFmtId="5" fontId="23" fillId="0" borderId="91" xfId="29" applyNumberFormat="1" applyFont="1" applyFill="1" applyBorder="1"/>
    <xf numFmtId="166" fontId="23" fillId="0" borderId="54" xfId="42" applyNumberFormat="1" applyFont="1" applyFill="1" applyBorder="1"/>
    <xf numFmtId="5" fontId="23" fillId="0" borderId="92" xfId="29" applyNumberFormat="1" applyFont="1" applyFill="1" applyBorder="1"/>
    <xf numFmtId="166" fontId="23" fillId="0" borderId="56" xfId="42" applyNumberFormat="1" applyFont="1" applyFill="1" applyBorder="1"/>
    <xf numFmtId="4" fontId="23" fillId="0" borderId="80" xfId="28" applyFont="1" applyFill="1" applyBorder="1" applyProtection="1"/>
    <xf numFmtId="164" fontId="23" fillId="0" borderId="89" xfId="29" applyNumberFormat="1" applyFont="1" applyFill="1" applyBorder="1" applyProtection="1"/>
    <xf numFmtId="9" fontId="23" fillId="0" borderId="76" xfId="42" applyFont="1" applyFill="1" applyBorder="1" applyProtection="1"/>
    <xf numFmtId="4" fontId="23" fillId="0" borderId="82" xfId="28" applyFont="1" applyFill="1" applyBorder="1" applyProtection="1"/>
    <xf numFmtId="4" fontId="23" fillId="0" borderId="80" xfId="28" applyNumberFormat="1" applyFont="1" applyFill="1" applyBorder="1" applyProtection="1"/>
    <xf numFmtId="166" fontId="20" fillId="0" borderId="47" xfId="42" applyNumberFormat="1" applyFont="1" applyFill="1" applyBorder="1" applyAlignment="1">
      <alignment horizontal="centerContinuous"/>
    </xf>
    <xf numFmtId="166" fontId="20" fillId="0" borderId="77" xfId="42" applyNumberFormat="1" applyFont="1" applyFill="1" applyBorder="1" applyAlignment="1">
      <alignment horizontal="centerContinuous"/>
    </xf>
    <xf numFmtId="166" fontId="20" fillId="0" borderId="48" xfId="42" applyNumberFormat="1" applyFont="1" applyFill="1" applyBorder="1" applyAlignment="1">
      <alignment horizontal="centerContinuous"/>
    </xf>
    <xf numFmtId="166" fontId="26" fillId="0" borderId="47" xfId="0" applyNumberFormat="1" applyFont="1" applyFill="1" applyBorder="1" applyAlignment="1">
      <alignment horizontal="centerContinuous"/>
    </xf>
    <xf numFmtId="166" fontId="20" fillId="0" borderId="77" xfId="0" applyNumberFormat="1" applyFont="1" applyFill="1" applyBorder="1" applyAlignment="1">
      <alignment horizontal="centerContinuous"/>
    </xf>
    <xf numFmtId="166" fontId="20" fillId="0" borderId="48" xfId="0" applyNumberFormat="1" applyFont="1" applyFill="1" applyBorder="1" applyAlignment="1">
      <alignment horizontal="centerContinuous"/>
    </xf>
    <xf numFmtId="166" fontId="20" fillId="0" borderId="49" xfId="42" applyNumberFormat="1" applyFont="1" applyFill="1" applyBorder="1" applyAlignment="1" applyProtection="1">
      <alignment horizontal="center"/>
    </xf>
    <xf numFmtId="166" fontId="20" fillId="0" borderId="79" xfId="42" applyNumberFormat="1" applyFont="1" applyFill="1" applyBorder="1" applyAlignment="1" applyProtection="1">
      <alignment horizontal="center"/>
    </xf>
    <xf numFmtId="166" fontId="20" fillId="0" borderId="50" xfId="42" applyNumberFormat="1" applyFont="1" applyFill="1" applyBorder="1" applyAlignment="1" applyProtection="1">
      <alignment horizontal="center"/>
    </xf>
    <xf numFmtId="166" fontId="20" fillId="0" borderId="47" xfId="0" applyNumberFormat="1" applyFont="1" applyFill="1" applyBorder="1"/>
    <xf numFmtId="166" fontId="20" fillId="0" borderId="77" xfId="0" applyNumberFormat="1" applyFont="1" applyFill="1" applyBorder="1"/>
    <xf numFmtId="166" fontId="20" fillId="0" borderId="48" xfId="0" applyNumberFormat="1" applyFont="1" applyFill="1" applyBorder="1"/>
    <xf numFmtId="37" fontId="20" fillId="0" borderId="51" xfId="42" applyNumberFormat="1" applyFont="1" applyFill="1" applyBorder="1" applyAlignment="1" applyProtection="1">
      <alignment horizontal="right"/>
    </xf>
    <xf numFmtId="166" fontId="20" fillId="0" borderId="81" xfId="42" applyNumberFormat="1" applyFont="1" applyFill="1" applyBorder="1" applyAlignment="1" applyProtection="1">
      <alignment horizontal="right"/>
    </xf>
    <xf numFmtId="166" fontId="20" fillId="0" borderId="52" xfId="42" applyNumberFormat="1" applyFont="1" applyFill="1" applyBorder="1" applyAlignment="1" applyProtection="1">
      <alignment horizontal="right"/>
    </xf>
    <xf numFmtId="37" fontId="20" fillId="0" borderId="65" xfId="42" applyNumberFormat="1" applyFont="1" applyFill="1" applyBorder="1" applyAlignment="1" applyProtection="1">
      <alignment horizontal="right"/>
    </xf>
    <xf numFmtId="166" fontId="20" fillId="0" borderId="84" xfId="42" applyNumberFormat="1" applyFont="1" applyFill="1" applyBorder="1" applyAlignment="1" applyProtection="1">
      <alignment horizontal="right"/>
    </xf>
    <xf numFmtId="166" fontId="20" fillId="0" borderId="54" xfId="42" applyNumberFormat="1" applyFont="1" applyFill="1" applyBorder="1" applyAlignment="1" applyProtection="1">
      <alignment horizontal="right"/>
    </xf>
    <xf numFmtId="166" fontId="20" fillId="0" borderId="86" xfId="42" applyNumberFormat="1" applyFont="1" applyFill="1" applyBorder="1" applyAlignment="1" applyProtection="1">
      <alignment horizontal="right"/>
    </xf>
    <xf numFmtId="3" fontId="20" fillId="0" borderId="47" xfId="42" applyNumberFormat="1" applyFont="1" applyFill="1" applyBorder="1" applyAlignment="1" applyProtection="1">
      <alignment horizontal="right"/>
    </xf>
    <xf numFmtId="166" fontId="20" fillId="0" borderId="77" xfId="42" applyNumberFormat="1" applyFont="1" applyFill="1" applyBorder="1" applyAlignment="1" applyProtection="1">
      <alignment horizontal="right"/>
    </xf>
    <xf numFmtId="166" fontId="20" fillId="0" borderId="48" xfId="42" applyNumberFormat="1" applyFont="1" applyFill="1" applyBorder="1" applyAlignment="1" applyProtection="1">
      <alignment horizontal="right"/>
    </xf>
    <xf numFmtId="37" fontId="20" fillId="0" borderId="37" xfId="29" applyNumberFormat="1" applyFont="1" applyFill="1" applyBorder="1" applyProtection="1"/>
    <xf numFmtId="37" fontId="20" fillId="0" borderId="38" xfId="29" applyNumberFormat="1" applyFont="1" applyFill="1" applyBorder="1" applyProtection="1"/>
    <xf numFmtId="37" fontId="23" fillId="0" borderId="34" xfId="29" applyNumberFormat="1" applyFont="1" applyFill="1" applyBorder="1"/>
    <xf numFmtId="166" fontId="20" fillId="0" borderId="87" xfId="42" applyNumberFormat="1" applyFont="1" applyFill="1" applyBorder="1" applyAlignment="1" applyProtection="1">
      <alignment horizontal="right"/>
    </xf>
    <xf numFmtId="166" fontId="20" fillId="0" borderId="53" xfId="42" applyNumberFormat="1" applyFont="1" applyFill="1" applyBorder="1" applyAlignment="1" applyProtection="1">
      <alignment horizontal="right"/>
    </xf>
    <xf numFmtId="37" fontId="20" fillId="0" borderId="66" xfId="42" applyNumberFormat="1" applyFont="1" applyFill="1" applyBorder="1" applyAlignment="1" applyProtection="1">
      <alignment horizontal="right"/>
    </xf>
    <xf numFmtId="166" fontId="20" fillId="0" borderId="64" xfId="42" applyNumberFormat="1" applyFont="1" applyFill="1" applyBorder="1" applyAlignment="1" applyProtection="1">
      <alignment horizontal="right"/>
    </xf>
    <xf numFmtId="37" fontId="20" fillId="0" borderId="40" xfId="29" applyNumberFormat="1" applyFont="1" applyFill="1" applyBorder="1"/>
    <xf numFmtId="166" fontId="20" fillId="0" borderId="90" xfId="42" applyNumberFormat="1" applyFont="1" applyFill="1" applyBorder="1" applyAlignment="1" applyProtection="1">
      <alignment horizontal="right"/>
    </xf>
    <xf numFmtId="166" fontId="20" fillId="0" borderId="56" xfId="42" applyNumberFormat="1" applyFont="1" applyFill="1" applyBorder="1" applyAlignment="1" applyProtection="1">
      <alignment horizontal="right"/>
    </xf>
    <xf numFmtId="37" fontId="20" fillId="0" borderId="0" xfId="29" applyNumberFormat="1" applyFont="1" applyFill="1" applyBorder="1"/>
    <xf numFmtId="37" fontId="20" fillId="0" borderId="71" xfId="29" applyNumberFormat="1" applyFont="1" applyFill="1" applyBorder="1"/>
    <xf numFmtId="37" fontId="20" fillId="0" borderId="72" xfId="29" applyNumberFormat="1" applyFont="1" applyFill="1" applyBorder="1"/>
    <xf numFmtId="4" fontId="20" fillId="0" borderId="51" xfId="42" applyNumberFormat="1" applyFont="1" applyFill="1" applyBorder="1" applyAlignment="1" applyProtection="1">
      <alignment horizontal="right"/>
    </xf>
    <xf numFmtId="37" fontId="20" fillId="0" borderId="40" xfId="29" applyNumberFormat="1" applyFont="1" applyFill="1" applyBorder="1" applyProtection="1"/>
    <xf numFmtId="167" fontId="20" fillId="0" borderId="51" xfId="42" applyNumberFormat="1" applyFont="1" applyFill="1" applyBorder="1" applyAlignment="1" applyProtection="1">
      <alignment horizontal="right"/>
    </xf>
    <xf numFmtId="39" fontId="20" fillId="0" borderId="51" xfId="42" applyNumberFormat="1" applyFont="1" applyFill="1" applyBorder="1" applyAlignment="1" applyProtection="1">
      <alignment horizontal="right"/>
    </xf>
    <xf numFmtId="3" fontId="20" fillId="0" borderId="51" xfId="42" applyNumberFormat="1" applyFont="1" applyFill="1" applyBorder="1" applyAlignment="1" applyProtection="1">
      <alignment horizontal="right"/>
    </xf>
    <xf numFmtId="3" fontId="20" fillId="0" borderId="57" xfId="42" applyNumberFormat="1" applyFont="1" applyFill="1" applyBorder="1" applyAlignment="1" applyProtection="1">
      <alignment horizontal="right"/>
    </xf>
    <xf numFmtId="3" fontId="20" fillId="0" borderId="55" xfId="42" applyNumberFormat="1" applyFont="1" applyFill="1" applyBorder="1" applyAlignment="1" applyProtection="1">
      <alignment horizontal="right"/>
    </xf>
    <xf numFmtId="167" fontId="20" fillId="0" borderId="57" xfId="42" applyNumberFormat="1" applyFont="1" applyFill="1" applyBorder="1" applyAlignment="1" applyProtection="1">
      <alignment horizontal="right"/>
    </xf>
    <xf numFmtId="166" fontId="20" fillId="0" borderId="93" xfId="42" applyNumberFormat="1" applyFont="1" applyFill="1" applyBorder="1" applyAlignment="1" applyProtection="1">
      <alignment horizontal="right"/>
    </xf>
    <xf numFmtId="166" fontId="20" fillId="0" borderId="58" xfId="42" applyNumberFormat="1" applyFont="1" applyFill="1" applyBorder="1" applyAlignment="1" applyProtection="1">
      <alignment horizontal="right"/>
    </xf>
    <xf numFmtId="37" fontId="20" fillId="0" borderId="38" xfId="28" applyNumberFormat="1" applyFont="1" applyFill="1" applyBorder="1" applyProtection="1"/>
    <xf numFmtId="37" fontId="20" fillId="0" borderId="47" xfId="42" applyNumberFormat="1" applyFont="1" applyFill="1" applyBorder="1" applyAlignment="1" applyProtection="1">
      <alignment horizontal="right"/>
    </xf>
    <xf numFmtId="37" fontId="20" fillId="0" borderId="40" xfId="28" applyNumberFormat="1" applyFont="1" applyFill="1" applyBorder="1"/>
    <xf numFmtId="164" fontId="20" fillId="25" borderId="41" xfId="29" applyNumberFormat="1" applyFont="1" applyFill="1" applyBorder="1" applyAlignment="1" applyProtection="1">
      <alignment horizontal="centerContinuous"/>
    </xf>
    <xf numFmtId="166" fontId="20" fillId="25" borderId="25" xfId="42" applyNumberFormat="1" applyFont="1" applyFill="1" applyBorder="1" applyAlignment="1">
      <alignment horizontal="centerContinuous"/>
    </xf>
    <xf numFmtId="2" fontId="26" fillId="25" borderId="41" xfId="0" applyFont="1" applyFill="1" applyBorder="1" applyAlignment="1">
      <alignment horizontal="centerContinuous"/>
    </xf>
    <xf numFmtId="166" fontId="20" fillId="25" borderId="25" xfId="0" applyNumberFormat="1" applyFont="1" applyFill="1" applyBorder="1" applyAlignment="1">
      <alignment horizontal="centerContinuous"/>
    </xf>
    <xf numFmtId="164" fontId="20" fillId="25" borderId="42" xfId="29" applyNumberFormat="1" applyFont="1" applyFill="1" applyBorder="1" applyAlignment="1" applyProtection="1">
      <alignment horizontal="center"/>
    </xf>
    <xf numFmtId="166" fontId="20" fillId="25" borderId="26" xfId="42" applyNumberFormat="1" applyFont="1" applyFill="1" applyBorder="1" applyAlignment="1" applyProtection="1">
      <alignment horizontal="center"/>
    </xf>
    <xf numFmtId="166" fontId="23" fillId="25" borderId="96" xfId="0" applyNumberFormat="1" applyFont="1" applyFill="1" applyBorder="1"/>
    <xf numFmtId="166" fontId="20" fillId="0" borderId="27" xfId="42" applyNumberFormat="1" applyFont="1" applyFill="1" applyBorder="1" applyAlignment="1" applyProtection="1">
      <alignment horizontal="right"/>
    </xf>
    <xf numFmtId="166" fontId="20" fillId="0" borderId="0" xfId="42" applyNumberFormat="1" applyFont="1" applyFill="1" applyBorder="1" applyAlignment="1" applyProtection="1">
      <alignment horizontal="right"/>
    </xf>
    <xf numFmtId="166" fontId="20" fillId="0" borderId="0" xfId="42" applyNumberFormat="1" applyFont="1" applyFill="1" applyBorder="1" applyProtection="1"/>
    <xf numFmtId="2" fontId="20" fillId="25" borderId="41" xfId="0" applyFont="1" applyFill="1" applyBorder="1"/>
    <xf numFmtId="166" fontId="20" fillId="25" borderId="25" xfId="0" applyNumberFormat="1" applyFont="1" applyFill="1" applyBorder="1"/>
    <xf numFmtId="164" fontId="20" fillId="25" borderId="43" xfId="29" applyNumberFormat="1" applyFont="1" applyFill="1" applyBorder="1" applyAlignment="1" applyProtection="1">
      <alignment horizontal="right"/>
    </xf>
    <xf numFmtId="166" fontId="20" fillId="25" borderId="29" xfId="42" applyNumberFormat="1" applyFont="1" applyFill="1" applyBorder="1" applyAlignment="1" applyProtection="1">
      <alignment horizontal="right"/>
    </xf>
    <xf numFmtId="164" fontId="20" fillId="25" borderId="44" xfId="29" applyNumberFormat="1" applyFont="1" applyFill="1" applyBorder="1" applyAlignment="1" applyProtection="1">
      <alignment horizontal="right"/>
    </xf>
    <xf numFmtId="164" fontId="20" fillId="25" borderId="18" xfId="29" applyNumberFormat="1" applyFont="1" applyFill="1" applyBorder="1" applyAlignment="1" applyProtection="1">
      <alignment horizontal="right"/>
    </xf>
    <xf numFmtId="166" fontId="20" fillId="25" borderId="30" xfId="42" applyNumberFormat="1" applyFont="1" applyFill="1" applyBorder="1" applyAlignment="1" applyProtection="1">
      <alignment horizontal="right"/>
    </xf>
    <xf numFmtId="5" fontId="20" fillId="25" borderId="45" xfId="29" applyNumberFormat="1" applyFont="1" applyFill="1" applyBorder="1" applyAlignment="1" applyProtection="1">
      <alignment horizontal="right"/>
    </xf>
    <xf numFmtId="5" fontId="20" fillId="25" borderId="41" xfId="29" applyNumberFormat="1" applyFont="1" applyFill="1" applyBorder="1" applyAlignment="1" applyProtection="1">
      <alignment horizontal="right"/>
    </xf>
    <xf numFmtId="166" fontId="20" fillId="25" borderId="25" xfId="42" applyNumberFormat="1" applyFont="1" applyFill="1" applyBorder="1" applyAlignment="1" applyProtection="1">
      <alignment horizontal="right"/>
    </xf>
    <xf numFmtId="164" fontId="20" fillId="25" borderId="41" xfId="29" applyNumberFormat="1" applyFont="1" applyFill="1" applyBorder="1" applyProtection="1"/>
    <xf numFmtId="166" fontId="20" fillId="25" borderId="25" xfId="42" applyNumberFormat="1" applyFont="1" applyFill="1" applyBorder="1"/>
    <xf numFmtId="164" fontId="20" fillId="25" borderId="43" xfId="29" applyNumberFormat="1" applyFont="1" applyFill="1" applyBorder="1" applyProtection="1"/>
    <xf numFmtId="166" fontId="20" fillId="25" borderId="29" xfId="42" applyNumberFormat="1" applyFont="1" applyFill="1" applyBorder="1" applyProtection="1"/>
    <xf numFmtId="5" fontId="20" fillId="25" borderId="43" xfId="29" applyNumberFormat="1" applyFont="1" applyFill="1" applyBorder="1" applyProtection="1"/>
    <xf numFmtId="164" fontId="20" fillId="25" borderId="44" xfId="29" applyNumberFormat="1" applyFont="1" applyFill="1" applyBorder="1" applyProtection="1"/>
    <xf numFmtId="166" fontId="20" fillId="25" borderId="32" xfId="42" applyNumberFormat="1" applyFont="1" applyFill="1" applyBorder="1" applyProtection="1"/>
    <xf numFmtId="166" fontId="20" fillId="25" borderId="30" xfId="42" applyNumberFormat="1" applyFont="1" applyFill="1" applyBorder="1" applyProtection="1"/>
    <xf numFmtId="166" fontId="20" fillId="25" borderId="25" xfId="42" applyNumberFormat="1" applyFont="1" applyFill="1" applyBorder="1" applyProtection="1"/>
    <xf numFmtId="164" fontId="20" fillId="25" borderId="18" xfId="29" applyNumberFormat="1" applyFont="1" applyFill="1" applyBorder="1" applyProtection="1"/>
    <xf numFmtId="164" fontId="20" fillId="25" borderId="41" xfId="29" applyNumberFormat="1" applyFont="1" applyFill="1" applyBorder="1"/>
    <xf numFmtId="5" fontId="20" fillId="25" borderId="18" xfId="29" applyNumberFormat="1" applyFont="1" applyFill="1" applyBorder="1" applyProtection="1"/>
    <xf numFmtId="164" fontId="20" fillId="25" borderId="43" xfId="29" applyNumberFormat="1" applyFont="1" applyFill="1" applyBorder="1"/>
    <xf numFmtId="166" fontId="20" fillId="25" borderId="29" xfId="42" applyNumberFormat="1" applyFont="1" applyFill="1" applyBorder="1"/>
    <xf numFmtId="164" fontId="20" fillId="25" borderId="45" xfId="29" applyNumberFormat="1" applyFont="1" applyFill="1" applyBorder="1" applyProtection="1"/>
    <xf numFmtId="166" fontId="20" fillId="25" borderId="31" xfId="42" applyNumberFormat="1" applyFont="1" applyFill="1" applyBorder="1" applyProtection="1"/>
    <xf numFmtId="164" fontId="20" fillId="25" borderId="18" xfId="29" applyNumberFormat="1" applyFont="1" applyFill="1" applyBorder="1"/>
    <xf numFmtId="166" fontId="20" fillId="25" borderId="30" xfId="42" applyNumberFormat="1" applyFont="1" applyFill="1" applyBorder="1"/>
    <xf numFmtId="164" fontId="20" fillId="25" borderId="61" xfId="29" applyNumberFormat="1" applyFont="1" applyFill="1" applyBorder="1" applyProtection="1"/>
    <xf numFmtId="166" fontId="20" fillId="25" borderId="62" xfId="42" applyNumberFormat="1" applyFont="1" applyFill="1" applyBorder="1" applyProtection="1"/>
    <xf numFmtId="5" fontId="20" fillId="25" borderId="46" xfId="29" applyNumberFormat="1" applyFont="1" applyFill="1" applyBorder="1"/>
    <xf numFmtId="166" fontId="20" fillId="25" borderId="33" xfId="42" applyNumberFormat="1" applyFont="1" applyFill="1" applyBorder="1"/>
    <xf numFmtId="5" fontId="20" fillId="25" borderId="41" xfId="29" applyNumberFormat="1" applyFont="1" applyFill="1" applyBorder="1"/>
    <xf numFmtId="5" fontId="20" fillId="25" borderId="73" xfId="29" applyNumberFormat="1" applyFont="1" applyFill="1" applyBorder="1"/>
    <xf numFmtId="5" fontId="20" fillId="25" borderId="55" xfId="29" applyNumberFormat="1" applyFont="1" applyFill="1" applyBorder="1"/>
    <xf numFmtId="4" fontId="20" fillId="25" borderId="43" xfId="28" applyFont="1" applyFill="1" applyBorder="1" applyProtection="1"/>
    <xf numFmtId="166" fontId="20" fillId="25" borderId="29" xfId="28" applyNumberFormat="1" applyFont="1" applyFill="1" applyBorder="1" applyAlignment="1" applyProtection="1">
      <alignment horizontal="left"/>
    </xf>
    <xf numFmtId="164" fontId="20" fillId="25" borderId="46" xfId="29" applyNumberFormat="1" applyFont="1" applyFill="1" applyBorder="1" applyProtection="1"/>
    <xf numFmtId="166" fontId="20" fillId="25" borderId="33" xfId="42" applyNumberFormat="1" applyFont="1" applyFill="1" applyBorder="1" applyProtection="1"/>
    <xf numFmtId="166" fontId="20" fillId="25" borderId="41" xfId="42" applyNumberFormat="1" applyFont="1" applyFill="1" applyBorder="1" applyProtection="1"/>
    <xf numFmtId="166" fontId="20" fillId="25" borderId="29" xfId="28" applyNumberFormat="1" applyFont="1" applyFill="1" applyBorder="1" applyProtection="1"/>
    <xf numFmtId="9" fontId="20" fillId="25" borderId="41" xfId="42" applyFont="1" applyFill="1" applyBorder="1" applyProtection="1"/>
    <xf numFmtId="4" fontId="20" fillId="25" borderId="44" xfId="28" applyFont="1" applyFill="1" applyBorder="1" applyProtection="1"/>
    <xf numFmtId="4" fontId="20" fillId="25" borderId="29" xfId="28" applyFont="1" applyFill="1" applyBorder="1" applyProtection="1"/>
    <xf numFmtId="2" fontId="20" fillId="25" borderId="25" xfId="0" applyFont="1" applyFill="1" applyBorder="1"/>
    <xf numFmtId="37" fontId="20" fillId="25" borderId="43" xfId="29" applyNumberFormat="1" applyFont="1" applyFill="1" applyBorder="1" applyProtection="1"/>
    <xf numFmtId="3" fontId="20" fillId="25" borderId="41" xfId="28" applyNumberFormat="1" applyFont="1" applyFill="1" applyBorder="1" applyProtection="1"/>
    <xf numFmtId="4" fontId="20" fillId="25" borderId="43" xfId="28" applyNumberFormat="1" applyFont="1" applyFill="1" applyBorder="1" applyProtection="1"/>
    <xf numFmtId="2" fontId="20" fillId="25" borderId="29" xfId="0" applyFont="1" applyFill="1" applyBorder="1"/>
    <xf numFmtId="3" fontId="20" fillId="25" borderId="43" xfId="28" applyNumberFormat="1" applyFont="1" applyFill="1" applyBorder="1" applyProtection="1"/>
    <xf numFmtId="3" fontId="20" fillId="25" borderId="45" xfId="28" applyNumberFormat="1" applyFont="1" applyFill="1" applyBorder="1" applyProtection="1"/>
    <xf numFmtId="2" fontId="20" fillId="25" borderId="31" xfId="0" applyFont="1" applyFill="1" applyBorder="1"/>
    <xf numFmtId="3" fontId="20" fillId="25" borderId="44" xfId="28" applyNumberFormat="1" applyFont="1" applyFill="1" applyBorder="1" applyProtection="1"/>
    <xf numFmtId="2" fontId="20" fillId="25" borderId="32" xfId="0" applyFont="1" applyFill="1" applyBorder="1"/>
    <xf numFmtId="3" fontId="20" fillId="25" borderId="18" xfId="28" applyNumberFormat="1" applyFont="1" applyFill="1" applyBorder="1" applyProtection="1"/>
    <xf numFmtId="2" fontId="20" fillId="25" borderId="30" xfId="0" applyFont="1" applyFill="1" applyBorder="1"/>
    <xf numFmtId="4" fontId="20" fillId="25" borderId="41" xfId="28" applyNumberFormat="1" applyFont="1" applyFill="1" applyBorder="1" applyProtection="1"/>
    <xf numFmtId="3" fontId="20" fillId="25" borderId="43" xfId="28" applyNumberFormat="1" applyFont="1" applyFill="1" applyBorder="1"/>
    <xf numFmtId="3" fontId="20" fillId="25" borderId="44" xfId="28" applyNumberFormat="1" applyFont="1" applyFill="1" applyBorder="1"/>
    <xf numFmtId="3" fontId="20" fillId="25" borderId="46" xfId="28" applyNumberFormat="1" applyFont="1" applyFill="1" applyBorder="1"/>
    <xf numFmtId="2" fontId="20" fillId="25" borderId="33" xfId="0" applyFont="1" applyFill="1" applyBorder="1"/>
    <xf numFmtId="5" fontId="23" fillId="0" borderId="85" xfId="29" applyNumberFormat="1" applyFont="1" applyFill="1" applyBorder="1" applyProtection="1"/>
    <xf numFmtId="5" fontId="23" fillId="0" borderId="89" xfId="29" applyNumberFormat="1" applyFont="1" applyFill="1" applyBorder="1" applyProtection="1"/>
    <xf numFmtId="5" fontId="23" fillId="0" borderId="83" xfId="28" applyNumberFormat="1" applyFont="1" applyFill="1" applyBorder="1" applyProtection="1"/>
    <xf numFmtId="5" fontId="23" fillId="0" borderId="76" xfId="28" applyNumberFormat="1" applyFont="1" applyFill="1" applyBorder="1" applyProtection="1"/>
    <xf numFmtId="5" fontId="23" fillId="0" borderId="89" xfId="28" applyNumberFormat="1" applyFont="1" applyFill="1" applyBorder="1"/>
    <xf numFmtId="166" fontId="23" fillId="0" borderId="11" xfId="0" applyNumberFormat="1" applyFont="1" applyFill="1" applyBorder="1"/>
    <xf numFmtId="2" fontId="23" fillId="0" borderId="11" xfId="0" applyFont="1" applyFill="1" applyBorder="1"/>
    <xf numFmtId="2" fontId="23" fillId="0" borderId="20" xfId="0" applyFont="1" applyFill="1" applyBorder="1"/>
    <xf numFmtId="2" fontId="23" fillId="0" borderId="23" xfId="0" applyFont="1" applyFill="1" applyBorder="1"/>
    <xf numFmtId="2" fontId="23" fillId="0" borderId="24" xfId="0" applyFont="1" applyFill="1" applyBorder="1"/>
    <xf numFmtId="2" fontId="23" fillId="0" borderId="15" xfId="0" applyFont="1" applyFill="1" applyBorder="1"/>
    <xf numFmtId="2" fontId="23" fillId="0" borderId="17" xfId="0" applyFont="1" applyFill="1" applyBorder="1"/>
    <xf numFmtId="166" fontId="23" fillId="0" borderId="0" xfId="42" applyNumberFormat="1" applyFont="1" applyFill="1" applyBorder="1" applyAlignment="1">
      <alignment horizontal="centerContinuous"/>
    </xf>
    <xf numFmtId="2" fontId="25" fillId="25" borderId="34" xfId="0" applyFont="1" applyFill="1" applyBorder="1" applyAlignment="1">
      <alignment horizontal="centerContinuous"/>
    </xf>
    <xf numFmtId="166" fontId="23" fillId="25" borderId="25" xfId="0" applyNumberFormat="1" applyFont="1" applyFill="1" applyBorder="1" applyAlignment="1">
      <alignment horizontal="centerContinuous"/>
    </xf>
    <xf numFmtId="164" fontId="23" fillId="25" borderId="36" xfId="29" applyNumberFormat="1" applyFont="1" applyFill="1" applyBorder="1" applyAlignment="1" applyProtection="1">
      <alignment horizontal="center"/>
    </xf>
    <xf numFmtId="166" fontId="23" fillId="25" borderId="26" xfId="42" applyNumberFormat="1" applyFont="1" applyFill="1" applyBorder="1" applyAlignment="1" applyProtection="1">
      <alignment horizontal="center"/>
    </xf>
    <xf numFmtId="166" fontId="23" fillId="25" borderId="0" xfId="0" applyNumberFormat="1" applyFont="1" applyFill="1" applyBorder="1"/>
    <xf numFmtId="164" fontId="23" fillId="25" borderId="35" xfId="29" applyNumberFormat="1" applyFont="1" applyFill="1" applyBorder="1" applyAlignment="1" applyProtection="1">
      <alignment horizontal="right"/>
    </xf>
    <xf numFmtId="166" fontId="23" fillId="25" borderId="29" xfId="42" applyNumberFormat="1" applyFont="1" applyFill="1" applyBorder="1" applyAlignment="1" applyProtection="1">
      <alignment horizontal="right"/>
    </xf>
    <xf numFmtId="164" fontId="23" fillId="25" borderId="37" xfId="29" applyNumberFormat="1" applyFont="1" applyFill="1" applyBorder="1" applyAlignment="1" applyProtection="1">
      <alignment horizontal="right"/>
    </xf>
    <xf numFmtId="164" fontId="23" fillId="25" borderId="38" xfId="29" applyNumberFormat="1" applyFont="1" applyFill="1" applyBorder="1" applyAlignment="1" applyProtection="1">
      <alignment horizontal="right"/>
    </xf>
    <xf numFmtId="166" fontId="23" fillId="25" borderId="30" xfId="42" applyNumberFormat="1" applyFont="1" applyFill="1" applyBorder="1" applyAlignment="1" applyProtection="1">
      <alignment horizontal="right"/>
    </xf>
    <xf numFmtId="5" fontId="23" fillId="25" borderId="39" xfId="29" applyNumberFormat="1" applyFont="1" applyFill="1" applyBorder="1" applyAlignment="1" applyProtection="1">
      <alignment horizontal="right"/>
    </xf>
    <xf numFmtId="5" fontId="23" fillId="25" borderId="34" xfId="29" applyNumberFormat="1" applyFont="1" applyFill="1" applyBorder="1" applyAlignment="1" applyProtection="1">
      <alignment horizontal="right"/>
    </xf>
    <xf numFmtId="166" fontId="23" fillId="25" borderId="25" xfId="42" applyNumberFormat="1" applyFont="1" applyFill="1" applyBorder="1" applyAlignment="1" applyProtection="1">
      <alignment horizontal="right"/>
    </xf>
    <xf numFmtId="164" fontId="23" fillId="25" borderId="34" xfId="29" applyNumberFormat="1" applyFont="1" applyFill="1" applyBorder="1" applyProtection="1"/>
    <xf numFmtId="166" fontId="23" fillId="25" borderId="25" xfId="42" applyNumberFormat="1" applyFont="1" applyFill="1" applyBorder="1"/>
    <xf numFmtId="164" fontId="23" fillId="25" borderId="35" xfId="29" applyNumberFormat="1" applyFont="1" applyFill="1" applyBorder="1" applyProtection="1"/>
    <xf numFmtId="166" fontId="23" fillId="25" borderId="29" xfId="42" applyNumberFormat="1" applyFont="1" applyFill="1" applyBorder="1" applyProtection="1"/>
    <xf numFmtId="5" fontId="23" fillId="25" borderId="35" xfId="29" applyNumberFormat="1" applyFont="1" applyFill="1" applyBorder="1" applyProtection="1"/>
    <xf numFmtId="164" fontId="23" fillId="25" borderId="37" xfId="29" applyNumberFormat="1" applyFont="1" applyFill="1" applyBorder="1" applyProtection="1"/>
    <xf numFmtId="166" fontId="23" fillId="25" borderId="32" xfId="42" applyNumberFormat="1" applyFont="1" applyFill="1" applyBorder="1" applyProtection="1"/>
    <xf numFmtId="166" fontId="23" fillId="25" borderId="30" xfId="42" applyNumberFormat="1" applyFont="1" applyFill="1" applyBorder="1" applyProtection="1"/>
    <xf numFmtId="166" fontId="23" fillId="25" borderId="25" xfId="42" applyNumberFormat="1" applyFont="1" applyFill="1" applyBorder="1" applyProtection="1"/>
    <xf numFmtId="164" fontId="23" fillId="25" borderId="38" xfId="29" applyNumberFormat="1" applyFont="1" applyFill="1" applyBorder="1" applyProtection="1"/>
    <xf numFmtId="164" fontId="23" fillId="25" borderId="34" xfId="29" applyNumberFormat="1" applyFont="1" applyFill="1" applyBorder="1"/>
    <xf numFmtId="5" fontId="23" fillId="25" borderId="38" xfId="29" applyNumberFormat="1" applyFont="1" applyFill="1" applyBorder="1" applyProtection="1"/>
    <xf numFmtId="164" fontId="23" fillId="25" borderId="35" xfId="29" applyNumberFormat="1" applyFont="1" applyFill="1" applyBorder="1"/>
    <xf numFmtId="166" fontId="23" fillId="25" borderId="29" xfId="42" applyNumberFormat="1" applyFont="1" applyFill="1" applyBorder="1"/>
    <xf numFmtId="164" fontId="23" fillId="25" borderId="39" xfId="29" applyNumberFormat="1" applyFont="1" applyFill="1" applyBorder="1" applyProtection="1"/>
    <xf numFmtId="166" fontId="23" fillId="25" borderId="31" xfId="42" applyNumberFormat="1" applyFont="1" applyFill="1" applyBorder="1" applyProtection="1"/>
    <xf numFmtId="164" fontId="23" fillId="25" borderId="38" xfId="29" applyNumberFormat="1" applyFont="1" applyFill="1" applyBorder="1"/>
    <xf numFmtId="166" fontId="23" fillId="25" borderId="30" xfId="42" applyNumberFormat="1" applyFont="1" applyFill="1" applyBorder="1"/>
    <xf numFmtId="164" fontId="23" fillId="25" borderId="63" xfId="29" applyNumberFormat="1" applyFont="1" applyFill="1" applyBorder="1" applyProtection="1"/>
    <xf numFmtId="166" fontId="23" fillId="25" borderId="62" xfId="42" applyNumberFormat="1" applyFont="1" applyFill="1" applyBorder="1" applyProtection="1"/>
    <xf numFmtId="5" fontId="23" fillId="25" borderId="40" xfId="29" applyNumberFormat="1" applyFont="1" applyFill="1" applyBorder="1"/>
    <xf numFmtId="166" fontId="23" fillId="25" borderId="33" xfId="42" applyNumberFormat="1" applyFont="1" applyFill="1" applyBorder="1"/>
    <xf numFmtId="166" fontId="23" fillId="25" borderId="0" xfId="42" applyNumberFormat="1" applyFont="1" applyFill="1" applyBorder="1"/>
    <xf numFmtId="166" fontId="23" fillId="25" borderId="96" xfId="42" applyNumberFormat="1" applyFont="1" applyFill="1" applyBorder="1"/>
    <xf numFmtId="166" fontId="23" fillId="25" borderId="71" xfId="42" applyNumberFormat="1" applyFont="1" applyFill="1" applyBorder="1"/>
    <xf numFmtId="166" fontId="23" fillId="25" borderId="94" xfId="42" applyNumberFormat="1" applyFont="1" applyFill="1" applyBorder="1"/>
    <xf numFmtId="166" fontId="23" fillId="25" borderId="72" xfId="42" applyNumberFormat="1" applyFont="1" applyFill="1" applyBorder="1"/>
    <xf numFmtId="166" fontId="23" fillId="25" borderId="95" xfId="42" applyNumberFormat="1" applyFont="1" applyFill="1" applyBorder="1"/>
    <xf numFmtId="4" fontId="23" fillId="25" borderId="35" xfId="28" applyFont="1" applyFill="1" applyBorder="1" applyProtection="1"/>
    <xf numFmtId="166" fontId="23" fillId="25" borderId="29" xfId="28" applyNumberFormat="1" applyFont="1" applyFill="1" applyBorder="1" applyAlignment="1" applyProtection="1">
      <alignment horizontal="left"/>
    </xf>
    <xf numFmtId="164" fontId="23" fillId="25" borderId="40" xfId="29" applyNumberFormat="1" applyFont="1" applyFill="1" applyBorder="1" applyProtection="1"/>
    <xf numFmtId="166" fontId="23" fillId="25" borderId="33" xfId="42" applyNumberFormat="1" applyFont="1" applyFill="1" applyBorder="1" applyProtection="1"/>
    <xf numFmtId="166" fontId="23" fillId="25" borderId="29" xfId="28" applyNumberFormat="1" applyFont="1" applyFill="1" applyBorder="1" applyProtection="1"/>
    <xf numFmtId="166" fontId="23" fillId="25" borderId="28" xfId="42" applyNumberFormat="1" applyFont="1" applyFill="1" applyBorder="1" applyProtection="1"/>
    <xf numFmtId="166" fontId="23" fillId="25" borderId="97" xfId="42" applyNumberFormat="1" applyFont="1" applyFill="1" applyBorder="1" applyProtection="1"/>
    <xf numFmtId="166" fontId="23" fillId="25" borderId="27" xfId="42" applyNumberFormat="1" applyFont="1" applyFill="1" applyBorder="1" applyProtection="1"/>
    <xf numFmtId="166" fontId="23" fillId="25" borderId="99" xfId="42" applyNumberFormat="1" applyFont="1" applyFill="1" applyBorder="1" applyProtection="1"/>
    <xf numFmtId="166" fontId="23" fillId="25" borderId="69" xfId="42" applyNumberFormat="1" applyFont="1" applyFill="1" applyBorder="1" applyProtection="1"/>
    <xf numFmtId="166" fontId="23" fillId="25" borderId="98" xfId="42" applyNumberFormat="1" applyFont="1" applyFill="1" applyBorder="1" applyProtection="1"/>
    <xf numFmtId="166" fontId="23" fillId="25" borderId="72" xfId="42" applyNumberFormat="1" applyFont="1" applyFill="1" applyBorder="1" applyProtection="1"/>
    <xf numFmtId="166" fontId="23" fillId="25" borderId="95" xfId="42" applyNumberFormat="1" applyFont="1" applyFill="1" applyBorder="1" applyProtection="1"/>
    <xf numFmtId="4" fontId="23" fillId="25" borderId="29" xfId="28" applyFont="1" applyFill="1" applyBorder="1" applyProtection="1"/>
    <xf numFmtId="4" fontId="23" fillId="25" borderId="35" xfId="28" applyNumberFormat="1" applyFont="1" applyFill="1" applyBorder="1" applyProtection="1"/>
    <xf numFmtId="2" fontId="23" fillId="25" borderId="29" xfId="0" applyFont="1" applyFill="1" applyBorder="1"/>
    <xf numFmtId="3" fontId="23" fillId="25" borderId="34" xfId="28" applyNumberFormat="1" applyFont="1" applyFill="1" applyBorder="1" applyProtection="1"/>
    <xf numFmtId="2" fontId="23" fillId="25" borderId="25" xfId="0" applyFont="1" applyFill="1" applyBorder="1"/>
    <xf numFmtId="2" fontId="23" fillId="25" borderId="31" xfId="0" applyFont="1" applyFill="1" applyBorder="1"/>
    <xf numFmtId="2" fontId="23" fillId="25" borderId="32" xfId="0" applyFont="1" applyFill="1" applyBorder="1"/>
    <xf numFmtId="5" fontId="23" fillId="25" borderId="38" xfId="28" applyNumberFormat="1" applyFont="1" applyFill="1" applyBorder="1" applyProtection="1"/>
    <xf numFmtId="2" fontId="23" fillId="25" borderId="30" xfId="0" applyFont="1" applyFill="1" applyBorder="1"/>
    <xf numFmtId="5" fontId="23" fillId="25" borderId="34" xfId="28" applyNumberFormat="1" applyFont="1" applyFill="1" applyBorder="1" applyProtection="1"/>
    <xf numFmtId="5" fontId="23" fillId="25" borderId="40" xfId="28" applyNumberFormat="1" applyFont="1" applyFill="1" applyBorder="1"/>
    <xf numFmtId="2" fontId="23" fillId="25" borderId="33" xfId="0" applyFont="1" applyFill="1" applyBorder="1"/>
    <xf numFmtId="164" fontId="23" fillId="0" borderId="102" xfId="29" applyNumberFormat="1" applyFont="1" applyFill="1" applyBorder="1" applyProtection="1"/>
    <xf numFmtId="166" fontId="23" fillId="0" borderId="27" xfId="42" applyNumberFormat="1" applyFont="1" applyFill="1" applyBorder="1"/>
    <xf numFmtId="166" fontId="23" fillId="25" borderId="27" xfId="42" applyNumberFormat="1" applyFont="1" applyFill="1" applyBorder="1"/>
    <xf numFmtId="3" fontId="20" fillId="0" borderId="27" xfId="42" applyNumberFormat="1" applyFont="1" applyFill="1" applyBorder="1" applyAlignment="1" applyProtection="1">
      <alignment horizontal="right"/>
    </xf>
    <xf numFmtId="5" fontId="23" fillId="0" borderId="102" xfId="29" applyNumberFormat="1" applyFont="1" applyFill="1" applyBorder="1"/>
    <xf numFmtId="166" fontId="23" fillId="0" borderId="103" xfId="42" applyNumberFormat="1" applyFont="1" applyFill="1" applyBorder="1"/>
    <xf numFmtId="3" fontId="20" fillId="0" borderId="103" xfId="42" applyNumberFormat="1" applyFont="1" applyFill="1" applyBorder="1" applyAlignment="1" applyProtection="1">
      <alignment horizontal="right"/>
    </xf>
    <xf numFmtId="166" fontId="20" fillId="0" borderId="103" xfId="42" applyNumberFormat="1" applyFont="1" applyFill="1" applyBorder="1" applyAlignment="1" applyProtection="1">
      <alignment horizontal="right"/>
    </xf>
    <xf numFmtId="166" fontId="23" fillId="0" borderId="104" xfId="42" applyNumberFormat="1" applyFont="1" applyFill="1" applyBorder="1"/>
    <xf numFmtId="3" fontId="20" fillId="0" borderId="104" xfId="42" applyNumberFormat="1" applyFont="1" applyFill="1" applyBorder="1" applyAlignment="1" applyProtection="1">
      <alignment horizontal="right"/>
    </xf>
    <xf numFmtId="166" fontId="20" fillId="0" borderId="104" xfId="42" applyNumberFormat="1" applyFont="1" applyFill="1" applyBorder="1" applyAlignment="1" applyProtection="1">
      <alignment horizontal="right"/>
    </xf>
    <xf numFmtId="164" fontId="20" fillId="0" borderId="42" xfId="29" applyNumberFormat="1" applyFont="1" applyFill="1" applyBorder="1" applyAlignment="1" applyProtection="1">
      <alignment horizontal="center"/>
    </xf>
    <xf numFmtId="2" fontId="20" fillId="0" borderId="41" xfId="0" applyFont="1" applyFill="1" applyBorder="1"/>
    <xf numFmtId="164" fontId="20" fillId="0" borderId="43" xfId="29" applyNumberFormat="1" applyFont="1" applyFill="1" applyBorder="1" applyAlignment="1" applyProtection="1">
      <alignment horizontal="right"/>
    </xf>
    <xf numFmtId="164" fontId="20" fillId="0" borderId="44" xfId="29" applyNumberFormat="1" applyFont="1" applyFill="1" applyBorder="1" applyAlignment="1" applyProtection="1">
      <alignment horizontal="right"/>
    </xf>
    <xf numFmtId="164" fontId="20" fillId="0" borderId="18" xfId="29" applyNumberFormat="1" applyFont="1" applyFill="1" applyBorder="1" applyAlignment="1" applyProtection="1">
      <alignment horizontal="right"/>
    </xf>
    <xf numFmtId="5" fontId="20" fillId="0" borderId="45" xfId="29" applyNumberFormat="1" applyFont="1" applyFill="1" applyBorder="1" applyAlignment="1" applyProtection="1">
      <alignment horizontal="right"/>
    </xf>
    <xf numFmtId="5" fontId="20" fillId="0" borderId="41" xfId="29" applyNumberFormat="1" applyFont="1" applyFill="1" applyBorder="1" applyAlignment="1" applyProtection="1">
      <alignment horizontal="right"/>
    </xf>
    <xf numFmtId="164" fontId="20" fillId="0" borderId="41" xfId="29" applyNumberFormat="1" applyFont="1" applyFill="1" applyBorder="1" applyProtection="1"/>
    <xf numFmtId="164" fontId="20" fillId="0" borderId="43" xfId="29" applyNumberFormat="1" applyFont="1" applyFill="1" applyBorder="1" applyProtection="1"/>
    <xf numFmtId="5" fontId="20" fillId="0" borderId="43" xfId="29" applyNumberFormat="1" applyFont="1" applyFill="1" applyBorder="1" applyProtection="1"/>
    <xf numFmtId="164" fontId="20" fillId="0" borderId="44" xfId="29" applyNumberFormat="1" applyFont="1" applyFill="1" applyBorder="1" applyProtection="1"/>
    <xf numFmtId="164" fontId="20" fillId="0" borderId="18" xfId="29" applyNumberFormat="1" applyFont="1" applyFill="1" applyBorder="1" applyProtection="1"/>
    <xf numFmtId="164" fontId="20" fillId="0" borderId="41" xfId="29" applyNumberFormat="1" applyFont="1" applyFill="1" applyBorder="1"/>
    <xf numFmtId="5" fontId="20" fillId="0" borderId="18" xfId="29" applyNumberFormat="1" applyFont="1" applyFill="1" applyBorder="1" applyProtection="1"/>
    <xf numFmtId="5" fontId="20" fillId="0" borderId="43" xfId="29" applyNumberFormat="1" applyFont="1" applyFill="1" applyBorder="1"/>
    <xf numFmtId="5" fontId="20" fillId="0" borderId="44" xfId="29" applyNumberFormat="1" applyFont="1" applyFill="1" applyBorder="1" applyProtection="1"/>
    <xf numFmtId="164" fontId="20" fillId="0" borderId="45" xfId="29" applyNumberFormat="1" applyFont="1" applyFill="1" applyBorder="1" applyProtection="1"/>
    <xf numFmtId="164" fontId="20" fillId="0" borderId="18" xfId="29" applyNumberFormat="1" applyFont="1" applyFill="1" applyBorder="1"/>
    <xf numFmtId="164" fontId="20" fillId="0" borderId="61" xfId="29" applyNumberFormat="1" applyFont="1" applyFill="1" applyBorder="1" applyProtection="1"/>
    <xf numFmtId="5" fontId="20" fillId="0" borderId="46" xfId="29" applyNumberFormat="1" applyFont="1" applyFill="1" applyBorder="1"/>
    <xf numFmtId="5" fontId="20" fillId="0" borderId="41" xfId="29" applyNumberFormat="1" applyFont="1" applyFill="1" applyBorder="1"/>
    <xf numFmtId="5" fontId="20" fillId="0" borderId="73" xfId="29" applyNumberFormat="1" applyFont="1" applyFill="1" applyBorder="1"/>
    <xf numFmtId="5" fontId="20" fillId="0" borderId="55" xfId="29" applyNumberFormat="1" applyFont="1" applyFill="1" applyBorder="1"/>
    <xf numFmtId="5" fontId="20" fillId="0" borderId="103" xfId="29" applyNumberFormat="1" applyFont="1" applyFill="1" applyBorder="1"/>
    <xf numFmtId="166" fontId="20" fillId="0" borderId="103" xfId="42" applyNumberFormat="1" applyFont="1" applyFill="1" applyBorder="1"/>
    <xf numFmtId="164" fontId="20" fillId="0" borderId="27" xfId="29" applyNumberFormat="1" applyFont="1" applyFill="1" applyBorder="1" applyProtection="1"/>
    <xf numFmtId="166" fontId="20" fillId="0" borderId="27" xfId="42" applyNumberFormat="1" applyFont="1" applyFill="1" applyBorder="1"/>
    <xf numFmtId="4" fontId="20" fillId="0" borderId="43" xfId="28" applyFont="1" applyFill="1" applyBorder="1" applyProtection="1"/>
    <xf numFmtId="164" fontId="20" fillId="0" borderId="46" xfId="29" applyNumberFormat="1" applyFont="1" applyFill="1" applyBorder="1" applyProtection="1"/>
    <xf numFmtId="164" fontId="20" fillId="0" borderId="104" xfId="29" applyNumberFormat="1" applyFont="1" applyFill="1" applyBorder="1" applyProtection="1"/>
    <xf numFmtId="166" fontId="20" fillId="0" borderId="104" xfId="42" applyNumberFormat="1" applyFont="1" applyFill="1" applyBorder="1"/>
    <xf numFmtId="9" fontId="20" fillId="0" borderId="41" xfId="42" applyFont="1" applyFill="1" applyBorder="1" applyProtection="1"/>
    <xf numFmtId="4" fontId="20" fillId="0" borderId="44" xfId="28" applyFont="1" applyFill="1" applyBorder="1" applyProtection="1"/>
    <xf numFmtId="4" fontId="20" fillId="0" borderId="43" xfId="28" applyNumberFormat="1" applyFont="1" applyFill="1" applyBorder="1" applyProtection="1"/>
    <xf numFmtId="3" fontId="20" fillId="0" borderId="41" xfId="28" applyNumberFormat="1" applyFont="1" applyFill="1" applyBorder="1" applyProtection="1"/>
    <xf numFmtId="5" fontId="20" fillId="0" borderId="43" xfId="28" applyNumberFormat="1" applyFont="1" applyFill="1" applyBorder="1" applyProtection="1"/>
    <xf numFmtId="5" fontId="20" fillId="0" borderId="45" xfId="28" applyNumberFormat="1" applyFont="1" applyFill="1" applyBorder="1" applyProtection="1"/>
    <xf numFmtId="5" fontId="20" fillId="0" borderId="44" xfId="28" applyNumberFormat="1" applyFont="1" applyFill="1" applyBorder="1" applyProtection="1"/>
    <xf numFmtId="5" fontId="20" fillId="0" borderId="18" xfId="28" applyNumberFormat="1" applyFont="1" applyFill="1" applyBorder="1" applyProtection="1"/>
    <xf numFmtId="5" fontId="20" fillId="0" borderId="41" xfId="28" applyNumberFormat="1" applyFont="1" applyFill="1" applyBorder="1" applyProtection="1"/>
    <xf numFmtId="5" fontId="20" fillId="0" borderId="43" xfId="28" applyNumberFormat="1" applyFont="1" applyFill="1" applyBorder="1"/>
    <xf numFmtId="5" fontId="20" fillId="0" borderId="44" xfId="28" applyNumberFormat="1" applyFont="1" applyFill="1" applyBorder="1"/>
    <xf numFmtId="5" fontId="20" fillId="0" borderId="46" xfId="28" applyNumberFormat="1" applyFont="1" applyFill="1" applyBorder="1"/>
    <xf numFmtId="5" fontId="23" fillId="0" borderId="76" xfId="0" applyNumberFormat="1" applyFont="1" applyFill="1" applyBorder="1"/>
    <xf numFmtId="5" fontId="23" fillId="0" borderId="80" xfId="29" applyNumberFormat="1" applyFont="1" applyFill="1" applyBorder="1" applyAlignment="1" applyProtection="1">
      <alignment horizontal="right"/>
    </xf>
    <xf numFmtId="5" fontId="23" fillId="0" borderId="82" xfId="29" applyNumberFormat="1" applyFont="1" applyFill="1" applyBorder="1" applyAlignment="1" applyProtection="1">
      <alignment horizontal="right"/>
    </xf>
    <xf numFmtId="5" fontId="23" fillId="0" borderId="83" xfId="29" applyNumberFormat="1" applyFont="1" applyFill="1" applyBorder="1" applyAlignment="1" applyProtection="1">
      <alignment horizontal="right"/>
    </xf>
    <xf numFmtId="5" fontId="23" fillId="0" borderId="76" xfId="29" applyNumberFormat="1" applyFont="1" applyFill="1" applyBorder="1" applyProtection="1"/>
    <xf numFmtId="5" fontId="23" fillId="0" borderId="83" xfId="29" applyNumberFormat="1" applyFont="1" applyFill="1" applyBorder="1"/>
    <xf numFmtId="5" fontId="23" fillId="0" borderId="88" xfId="29" applyNumberFormat="1" applyFont="1" applyFill="1" applyBorder="1" applyProtection="1"/>
    <xf numFmtId="5" fontId="23" fillId="0" borderId="102" xfId="29" applyNumberFormat="1" applyFont="1" applyFill="1" applyBorder="1" applyProtection="1"/>
    <xf numFmtId="164" fontId="20" fillId="0" borderId="0" xfId="29" applyNumberFormat="1" applyFont="1" applyFill="1" applyBorder="1" applyProtection="1"/>
    <xf numFmtId="166" fontId="23" fillId="0" borderId="0" xfId="42" applyNumberFormat="1" applyFont="1" applyFill="1" applyBorder="1" applyProtection="1"/>
    <xf numFmtId="37" fontId="20" fillId="0" borderId="0" xfId="29" applyNumberFormat="1" applyFont="1" applyFill="1" applyBorder="1" applyProtection="1"/>
    <xf numFmtId="164" fontId="20" fillId="0" borderId="41" xfId="29" applyNumberFormat="1" applyFont="1" applyFill="1" applyBorder="1" applyAlignment="1" applyProtection="1">
      <alignment horizontal="centerContinuous"/>
    </xf>
    <xf numFmtId="2" fontId="26" fillId="0" borderId="41" xfId="0" applyFont="1" applyFill="1" applyBorder="1" applyAlignment="1">
      <alignment horizontal="centerContinuous"/>
    </xf>
    <xf numFmtId="164" fontId="20" fillId="0" borderId="43" xfId="29" applyNumberFormat="1" applyFont="1" applyFill="1" applyBorder="1"/>
    <xf numFmtId="166" fontId="20" fillId="0" borderId="41" xfId="42" applyNumberFormat="1" applyFont="1" applyFill="1" applyBorder="1" applyProtection="1"/>
    <xf numFmtId="37" fontId="20" fillId="0" borderId="43" xfId="29" applyNumberFormat="1" applyFont="1" applyFill="1" applyBorder="1" applyProtection="1"/>
    <xf numFmtId="3" fontId="20" fillId="0" borderId="43" xfId="28" applyNumberFormat="1" applyFont="1" applyFill="1" applyBorder="1" applyProtection="1"/>
    <xf numFmtId="3" fontId="20" fillId="0" borderId="45" xfId="28" applyNumberFormat="1" applyFont="1" applyFill="1" applyBorder="1" applyProtection="1"/>
    <xf numFmtId="3" fontId="20" fillId="0" borderId="44" xfId="28" applyNumberFormat="1" applyFont="1" applyFill="1" applyBorder="1" applyProtection="1"/>
    <xf numFmtId="3" fontId="20" fillId="0" borderId="18" xfId="28" applyNumberFormat="1" applyFont="1" applyFill="1" applyBorder="1" applyProtection="1"/>
    <xf numFmtId="4" fontId="20" fillId="0" borderId="41" xfId="28" applyNumberFormat="1" applyFont="1" applyFill="1" applyBorder="1" applyProtection="1"/>
    <xf numFmtId="3" fontId="20" fillId="0" borderId="43" xfId="28" applyNumberFormat="1" applyFont="1" applyFill="1" applyBorder="1"/>
    <xf numFmtId="3" fontId="20" fillId="0" borderId="44" xfId="28" applyNumberFormat="1" applyFont="1" applyFill="1" applyBorder="1"/>
    <xf numFmtId="3" fontId="20" fillId="0" borderId="46" xfId="28" applyNumberFormat="1" applyFont="1" applyFill="1" applyBorder="1"/>
    <xf numFmtId="166" fontId="20" fillId="0" borderId="106" xfId="42" applyNumberFormat="1" applyFont="1" applyFill="1" applyBorder="1" applyAlignment="1" applyProtection="1">
      <alignment horizontal="right"/>
    </xf>
    <xf numFmtId="166" fontId="20" fillId="0" borderId="105" xfId="42" applyNumberFormat="1" applyFont="1" applyFill="1" applyBorder="1" applyAlignment="1" applyProtection="1">
      <alignment horizontal="right"/>
    </xf>
    <xf numFmtId="164" fontId="23" fillId="25" borderId="108" xfId="29" applyNumberFormat="1" applyFont="1" applyFill="1" applyBorder="1" applyProtection="1"/>
    <xf numFmtId="166" fontId="23" fillId="25" borderId="111" xfId="42" applyNumberFormat="1" applyFont="1" applyFill="1" applyBorder="1"/>
    <xf numFmtId="166" fontId="23" fillId="25" borderId="110" xfId="42" applyNumberFormat="1" applyFont="1" applyFill="1" applyBorder="1"/>
    <xf numFmtId="166" fontId="23" fillId="25" borderId="99" xfId="42" applyNumberFormat="1" applyFont="1" applyFill="1" applyBorder="1"/>
    <xf numFmtId="166" fontId="23" fillId="25" borderId="107" xfId="42" applyNumberFormat="1" applyFont="1" applyFill="1" applyBorder="1"/>
    <xf numFmtId="166" fontId="23" fillId="25" borderId="109" xfId="42" applyNumberFormat="1" applyFont="1" applyFill="1" applyBorder="1"/>
    <xf numFmtId="166" fontId="23" fillId="0" borderId="25" xfId="46" applyNumberFormat="1" applyFont="1" applyFill="1" applyBorder="1" applyAlignment="1">
      <alignment horizontal="centerContinuous"/>
    </xf>
    <xf numFmtId="164" fontId="23" fillId="0" borderId="76" xfId="29" applyNumberFormat="1" applyFont="1" applyFill="1" applyBorder="1" applyAlignment="1" applyProtection="1">
      <alignment horizontal="centerContinuous"/>
    </xf>
    <xf numFmtId="164" fontId="23" fillId="0" borderId="78" xfId="29" applyNumberFormat="1" applyFont="1" applyFill="1" applyBorder="1" applyAlignment="1" applyProtection="1">
      <alignment horizontal="center"/>
    </xf>
    <xf numFmtId="5" fontId="23" fillId="0" borderId="85" xfId="29" applyNumberFormat="1" applyFont="1" applyFill="1" applyBorder="1" applyAlignment="1" applyProtection="1">
      <alignment horizontal="right"/>
    </xf>
    <xf numFmtId="5" fontId="23" fillId="0" borderId="76" xfId="29" applyNumberFormat="1" applyFont="1" applyFill="1" applyBorder="1" applyAlignment="1" applyProtection="1">
      <alignment horizontal="right"/>
    </xf>
    <xf numFmtId="164" fontId="23" fillId="0" borderId="76" xfId="29" applyNumberFormat="1" applyFont="1" applyFill="1" applyBorder="1" applyProtection="1"/>
    <xf numFmtId="5" fontId="23" fillId="0" borderId="83" xfId="29" applyNumberFormat="1" applyFont="1" applyFill="1" applyBorder="1" applyProtection="1"/>
    <xf numFmtId="5" fontId="23" fillId="0" borderId="80" xfId="29" applyNumberFormat="1" applyFont="1" applyFill="1" applyBorder="1"/>
    <xf numFmtId="5" fontId="23" fillId="0" borderId="89" xfId="29" applyNumberFormat="1" applyFont="1" applyFill="1" applyBorder="1"/>
    <xf numFmtId="5" fontId="23" fillId="0" borderId="76" xfId="29" applyNumberFormat="1" applyFont="1" applyFill="1" applyBorder="1"/>
    <xf numFmtId="5" fontId="23" fillId="0" borderId="91" xfId="29" applyNumberFormat="1" applyFont="1" applyFill="1" applyBorder="1"/>
    <xf numFmtId="5" fontId="23" fillId="0" borderId="92" xfId="29" applyNumberFormat="1" applyFont="1" applyFill="1" applyBorder="1"/>
    <xf numFmtId="4" fontId="23" fillId="0" borderId="80" xfId="28" applyFont="1" applyFill="1" applyBorder="1" applyProtection="1"/>
    <xf numFmtId="164" fontId="23" fillId="0" borderId="89" xfId="29" applyNumberFormat="1" applyFont="1" applyFill="1" applyBorder="1" applyProtection="1"/>
    <xf numFmtId="9" fontId="23" fillId="0" borderId="76" xfId="42" applyFont="1" applyFill="1" applyBorder="1" applyProtection="1"/>
    <xf numFmtId="4" fontId="23" fillId="0" borderId="82" xfId="28" applyFont="1" applyFill="1" applyBorder="1" applyProtection="1"/>
    <xf numFmtId="4" fontId="23" fillId="0" borderId="80" xfId="28" applyNumberFormat="1" applyFont="1" applyFill="1" applyBorder="1" applyProtection="1"/>
    <xf numFmtId="5" fontId="23" fillId="0" borderId="89" xfId="29" applyNumberFormat="1" applyFont="1" applyFill="1" applyBorder="1" applyProtection="1"/>
    <xf numFmtId="5" fontId="23" fillId="0" borderId="83" xfId="28" applyNumberFormat="1" applyFont="1" applyFill="1" applyBorder="1" applyProtection="1"/>
    <xf numFmtId="5" fontId="23" fillId="0" borderId="76" xfId="28" applyNumberFormat="1" applyFont="1" applyFill="1" applyBorder="1" applyProtection="1"/>
    <xf numFmtId="5" fontId="23" fillId="0" borderId="89" xfId="28" applyNumberFormat="1" applyFont="1" applyFill="1" applyBorder="1"/>
    <xf numFmtId="166" fontId="23" fillId="0" borderId="13" xfId="42" applyNumberFormat="1" applyFont="1" applyFill="1" applyBorder="1" applyAlignment="1" applyProtection="1">
      <alignment horizontal="center"/>
    </xf>
    <xf numFmtId="166" fontId="20" fillId="0" borderId="20" xfId="42" applyNumberFormat="1" applyFont="1" applyFill="1" applyBorder="1" applyAlignment="1" applyProtection="1">
      <alignment horizontal="right"/>
    </xf>
    <xf numFmtId="166" fontId="20" fillId="0" borderId="15" xfId="42" applyNumberFormat="1" applyFont="1" applyFill="1" applyBorder="1" applyAlignment="1" applyProtection="1">
      <alignment horizontal="right"/>
    </xf>
    <xf numFmtId="166" fontId="20" fillId="0" borderId="11" xfId="42" applyNumberFormat="1" applyFont="1" applyFill="1" applyBorder="1" applyAlignment="1" applyProtection="1">
      <alignment horizontal="right"/>
    </xf>
    <xf numFmtId="166" fontId="23" fillId="0" borderId="11" xfId="42" applyNumberFormat="1" applyFont="1" applyFill="1" applyBorder="1"/>
    <xf numFmtId="166" fontId="23" fillId="0" borderId="20" xfId="42" applyNumberFormat="1" applyFont="1" applyFill="1" applyBorder="1" applyProtection="1"/>
    <xf numFmtId="166" fontId="23" fillId="0" borderId="24" xfId="42" applyNumberFormat="1" applyFont="1" applyFill="1" applyBorder="1" applyProtection="1"/>
    <xf numFmtId="166" fontId="23" fillId="0" borderId="15" xfId="42" applyNumberFormat="1" applyFont="1" applyFill="1" applyBorder="1" applyProtection="1"/>
    <xf numFmtId="166" fontId="23" fillId="0" borderId="11" xfId="42" applyNumberFormat="1" applyFont="1" applyFill="1" applyBorder="1" applyProtection="1"/>
    <xf numFmtId="166" fontId="23" fillId="0" borderId="20" xfId="42" applyNumberFormat="1" applyFont="1" applyFill="1" applyBorder="1"/>
    <xf numFmtId="166" fontId="23" fillId="0" borderId="23" xfId="42" applyNumberFormat="1" applyFont="1" applyFill="1" applyBorder="1" applyProtection="1"/>
    <xf numFmtId="166" fontId="23" fillId="0" borderId="15" xfId="42" applyNumberFormat="1" applyFont="1" applyFill="1" applyBorder="1"/>
    <xf numFmtId="166" fontId="23" fillId="0" borderId="59" xfId="42" applyNumberFormat="1" applyFont="1" applyFill="1" applyBorder="1" applyProtection="1"/>
    <xf numFmtId="166" fontId="23" fillId="0" borderId="17" xfId="42" applyNumberFormat="1" applyFont="1" applyFill="1" applyBorder="1"/>
    <xf numFmtId="166" fontId="23" fillId="0" borderId="100" xfId="42" applyNumberFormat="1" applyFont="1" applyFill="1" applyBorder="1"/>
    <xf numFmtId="166" fontId="23" fillId="0" borderId="101" xfId="42" applyNumberFormat="1" applyFont="1" applyFill="1" applyBorder="1"/>
    <xf numFmtId="166" fontId="23" fillId="0" borderId="20" xfId="28" applyNumberFormat="1" applyFont="1" applyFill="1" applyBorder="1" applyAlignment="1" applyProtection="1">
      <alignment horizontal="left"/>
    </xf>
    <xf numFmtId="166" fontId="23" fillId="0" borderId="17" xfId="42" applyNumberFormat="1" applyFont="1" applyFill="1" applyBorder="1" applyProtection="1"/>
    <xf numFmtId="166" fontId="23" fillId="0" borderId="20" xfId="28" applyNumberFormat="1" applyFont="1" applyFill="1" applyBorder="1" applyProtection="1"/>
    <xf numFmtId="4" fontId="23" fillId="0" borderId="20" xfId="28" applyFont="1" applyFill="1" applyBorder="1" applyProtection="1"/>
    <xf numFmtId="166" fontId="23" fillId="0" borderId="0" xfId="42" applyNumberFormat="1" applyFont="1" applyFill="1" applyBorder="1" applyAlignment="1">
      <alignment horizontal="centerContinuous"/>
    </xf>
    <xf numFmtId="2" fontId="23" fillId="25" borderId="113" xfId="0" applyFont="1" applyFill="1" applyBorder="1"/>
    <xf numFmtId="5" fontId="23" fillId="25" borderId="112" xfId="28" applyNumberFormat="1" applyFont="1" applyFill="1" applyBorder="1" applyProtection="1"/>
    <xf numFmtId="166" fontId="23" fillId="25" borderId="109" xfId="42" applyNumberFormat="1" applyFont="1" applyFill="1" applyBorder="1" applyProtection="1"/>
    <xf numFmtId="166" fontId="23" fillId="25" borderId="108" xfId="42" applyNumberFormat="1" applyFont="1" applyFill="1" applyBorder="1"/>
    <xf numFmtId="2" fontId="25" fillId="26" borderId="34" xfId="0" applyFont="1" applyFill="1" applyBorder="1" applyAlignment="1">
      <alignment horizontal="centerContinuous"/>
    </xf>
    <xf numFmtId="166" fontId="23" fillId="26" borderId="25" xfId="0" applyNumberFormat="1" applyFont="1" applyFill="1" applyBorder="1" applyAlignment="1">
      <alignment horizontal="centerContinuous"/>
    </xf>
    <xf numFmtId="164" fontId="23" fillId="26" borderId="36" xfId="29" applyNumberFormat="1" applyFont="1" applyFill="1" applyBorder="1" applyAlignment="1" applyProtection="1">
      <alignment horizontal="center"/>
    </xf>
    <xf numFmtId="166" fontId="23" fillId="26" borderId="26" xfId="42" applyNumberFormat="1" applyFont="1" applyFill="1" applyBorder="1" applyAlignment="1" applyProtection="1">
      <alignment horizontal="center"/>
    </xf>
    <xf numFmtId="166" fontId="23" fillId="26" borderId="0" xfId="0" applyNumberFormat="1" applyFont="1" applyFill="1" applyBorder="1"/>
    <xf numFmtId="166" fontId="23" fillId="26" borderId="25" xfId="0" applyNumberFormat="1" applyFont="1" applyFill="1" applyBorder="1"/>
    <xf numFmtId="164" fontId="23" fillId="26" borderId="35" xfId="29" applyNumberFormat="1" applyFont="1" applyFill="1" applyBorder="1" applyAlignment="1" applyProtection="1">
      <alignment horizontal="right"/>
    </xf>
    <xf numFmtId="164" fontId="23" fillId="26" borderId="37" xfId="29" applyNumberFormat="1" applyFont="1" applyFill="1" applyBorder="1" applyAlignment="1" applyProtection="1">
      <alignment horizontal="right"/>
    </xf>
    <xf numFmtId="164" fontId="23" fillId="26" borderId="38" xfId="29" applyNumberFormat="1" applyFont="1" applyFill="1" applyBorder="1" applyAlignment="1" applyProtection="1">
      <alignment horizontal="right"/>
    </xf>
    <xf numFmtId="5" fontId="23" fillId="26" borderId="39" xfId="29" applyNumberFormat="1" applyFont="1" applyFill="1" applyBorder="1" applyAlignment="1" applyProtection="1">
      <alignment horizontal="right"/>
    </xf>
    <xf numFmtId="5" fontId="23" fillId="26" borderId="34" xfId="29" applyNumberFormat="1" applyFont="1" applyFill="1" applyBorder="1" applyAlignment="1" applyProtection="1">
      <alignment horizontal="right"/>
    </xf>
    <xf numFmtId="164" fontId="23" fillId="26" borderId="34" xfId="29" applyNumberFormat="1" applyFont="1" applyFill="1" applyBorder="1" applyProtection="1"/>
    <xf numFmtId="166" fontId="23" fillId="26" borderId="25" xfId="42" applyNumberFormat="1" applyFont="1" applyFill="1" applyBorder="1"/>
    <xf numFmtId="164" fontId="23" fillId="26" borderId="35" xfId="29" applyNumberFormat="1" applyFont="1" applyFill="1" applyBorder="1" applyProtection="1"/>
    <xf numFmtId="166" fontId="23" fillId="26" borderId="29" xfId="42" applyNumberFormat="1" applyFont="1" applyFill="1" applyBorder="1" applyProtection="1"/>
    <xf numFmtId="5" fontId="23" fillId="26" borderId="35" xfId="29" applyNumberFormat="1" applyFont="1" applyFill="1" applyBorder="1" applyProtection="1"/>
    <xf numFmtId="164" fontId="23" fillId="26" borderId="37" xfId="29" applyNumberFormat="1" applyFont="1" applyFill="1" applyBorder="1" applyProtection="1"/>
    <xf numFmtId="166" fontId="23" fillId="26" borderId="32" xfId="42" applyNumberFormat="1" applyFont="1" applyFill="1" applyBorder="1" applyProtection="1"/>
    <xf numFmtId="166" fontId="23" fillId="26" borderId="30" xfId="42" applyNumberFormat="1" applyFont="1" applyFill="1" applyBorder="1" applyProtection="1"/>
    <xf numFmtId="166" fontId="23" fillId="26" borderId="25" xfId="42" applyNumberFormat="1" applyFont="1" applyFill="1" applyBorder="1" applyProtection="1"/>
    <xf numFmtId="164" fontId="23" fillId="26" borderId="38" xfId="29" applyNumberFormat="1" applyFont="1" applyFill="1" applyBorder="1" applyProtection="1"/>
    <xf numFmtId="164" fontId="23" fillId="26" borderId="34" xfId="29" applyNumberFormat="1" applyFont="1" applyFill="1" applyBorder="1"/>
    <xf numFmtId="5" fontId="23" fillId="26" borderId="38" xfId="29" applyNumberFormat="1" applyFont="1" applyFill="1" applyBorder="1" applyProtection="1"/>
    <xf numFmtId="164" fontId="23" fillId="26" borderId="35" xfId="29" applyNumberFormat="1" applyFont="1" applyFill="1" applyBorder="1"/>
    <xf numFmtId="166" fontId="23" fillId="26" borderId="29" xfId="42" applyNumberFormat="1" applyFont="1" applyFill="1" applyBorder="1"/>
    <xf numFmtId="164" fontId="23" fillId="26" borderId="38" xfId="29" applyNumberFormat="1" applyFont="1" applyFill="1" applyBorder="1"/>
    <xf numFmtId="166" fontId="23" fillId="26" borderId="30" xfId="42" applyNumberFormat="1" applyFont="1" applyFill="1" applyBorder="1"/>
    <xf numFmtId="164" fontId="23" fillId="26" borderId="63" xfId="29" applyNumberFormat="1" applyFont="1" applyFill="1" applyBorder="1" applyProtection="1"/>
    <xf numFmtId="166" fontId="23" fillId="26" borderId="62" xfId="42" applyNumberFormat="1" applyFont="1" applyFill="1" applyBorder="1" applyProtection="1"/>
    <xf numFmtId="5" fontId="23" fillId="26" borderId="40" xfId="29" applyNumberFormat="1" applyFont="1" applyFill="1" applyBorder="1"/>
    <xf numFmtId="166" fontId="23" fillId="26" borderId="33" xfId="42" applyNumberFormat="1" applyFont="1" applyFill="1" applyBorder="1"/>
    <xf numFmtId="166" fontId="23" fillId="26" borderId="0" xfId="42" applyNumberFormat="1" applyFont="1" applyFill="1" applyBorder="1"/>
    <xf numFmtId="166" fontId="23" fillId="26" borderId="71" xfId="42" applyNumberFormat="1" applyFont="1" applyFill="1" applyBorder="1"/>
    <xf numFmtId="166" fontId="23" fillId="26" borderId="72" xfId="42" applyNumberFormat="1" applyFont="1" applyFill="1" applyBorder="1"/>
    <xf numFmtId="166" fontId="23" fillId="26" borderId="27" xfId="42" applyNumberFormat="1" applyFont="1" applyFill="1" applyBorder="1"/>
    <xf numFmtId="4" fontId="23" fillId="26" borderId="35" xfId="28" applyFont="1" applyFill="1" applyBorder="1" applyProtection="1"/>
    <xf numFmtId="166" fontId="23" fillId="26" borderId="29" xfId="28" applyNumberFormat="1" applyFont="1" applyFill="1" applyBorder="1" applyAlignment="1" applyProtection="1">
      <alignment horizontal="left"/>
    </xf>
    <xf numFmtId="164" fontId="23" fillId="26" borderId="39" xfId="29" applyNumberFormat="1" applyFont="1" applyFill="1" applyBorder="1" applyProtection="1"/>
    <xf numFmtId="166" fontId="23" fillId="26" borderId="31" xfId="42" applyNumberFormat="1" applyFont="1" applyFill="1" applyBorder="1" applyProtection="1"/>
    <xf numFmtId="164" fontId="23" fillId="26" borderId="40" xfId="29" applyNumberFormat="1" applyFont="1" applyFill="1" applyBorder="1" applyProtection="1"/>
    <xf numFmtId="166" fontId="23" fillId="26" borderId="33" xfId="42" applyNumberFormat="1" applyFont="1" applyFill="1" applyBorder="1" applyProtection="1"/>
    <xf numFmtId="166" fontId="23" fillId="26" borderId="29" xfId="28" applyNumberFormat="1" applyFont="1" applyFill="1" applyBorder="1" applyProtection="1"/>
    <xf numFmtId="166" fontId="23" fillId="26" borderId="28" xfId="42" applyNumberFormat="1" applyFont="1" applyFill="1" applyBorder="1" applyProtection="1"/>
    <xf numFmtId="166" fontId="23" fillId="26" borderId="27" xfId="42" applyNumberFormat="1" applyFont="1" applyFill="1" applyBorder="1" applyProtection="1"/>
    <xf numFmtId="166" fontId="23" fillId="26" borderId="69" xfId="42" applyNumberFormat="1" applyFont="1" applyFill="1" applyBorder="1" applyProtection="1"/>
    <xf numFmtId="166" fontId="23" fillId="26" borderId="72" xfId="42" applyNumberFormat="1" applyFont="1" applyFill="1" applyBorder="1" applyProtection="1"/>
    <xf numFmtId="4" fontId="23" fillId="26" borderId="29" xfId="28" applyFont="1" applyFill="1" applyBorder="1" applyProtection="1"/>
    <xf numFmtId="4" fontId="23" fillId="26" borderId="35" xfId="28" applyNumberFormat="1" applyFont="1" applyFill="1" applyBorder="1" applyProtection="1"/>
    <xf numFmtId="2" fontId="23" fillId="26" borderId="29" xfId="0" applyFont="1" applyFill="1" applyBorder="1"/>
    <xf numFmtId="3" fontId="23" fillId="26" borderId="34" xfId="28" applyNumberFormat="1" applyFont="1" applyFill="1" applyBorder="1" applyProtection="1"/>
    <xf numFmtId="2" fontId="23" fillId="26" borderId="25" xfId="0" applyFont="1" applyFill="1" applyBorder="1"/>
    <xf numFmtId="2" fontId="23" fillId="26" borderId="31" xfId="0" applyFont="1" applyFill="1" applyBorder="1"/>
    <xf numFmtId="2" fontId="23" fillId="26" borderId="32" xfId="0" applyFont="1" applyFill="1" applyBorder="1"/>
    <xf numFmtId="5" fontId="23" fillId="26" borderId="38" xfId="28" applyNumberFormat="1" applyFont="1" applyFill="1" applyBorder="1" applyProtection="1"/>
    <xf numFmtId="2" fontId="23" fillId="26" borderId="30" xfId="0" applyFont="1" applyFill="1" applyBorder="1"/>
    <xf numFmtId="5" fontId="23" fillId="26" borderId="34" xfId="28" applyNumberFormat="1" applyFont="1" applyFill="1" applyBorder="1" applyProtection="1"/>
    <xf numFmtId="5" fontId="23" fillId="26" borderId="40" xfId="28" applyNumberFormat="1" applyFont="1" applyFill="1" applyBorder="1"/>
    <xf numFmtId="2" fontId="23" fillId="26" borderId="33" xfId="0" applyFont="1" applyFill="1" applyBorder="1"/>
    <xf numFmtId="49" fontId="20" fillId="0" borderId="0" xfId="0" applyNumberFormat="1" applyFont="1" applyBorder="1"/>
    <xf numFmtId="167" fontId="20" fillId="0" borderId="0" xfId="0" applyNumberFormat="1" applyFont="1" applyBorder="1" applyAlignment="1">
      <alignment horizontal="left"/>
    </xf>
    <xf numFmtId="2" fontId="20" fillId="0" borderId="0" xfId="0" applyFont="1"/>
    <xf numFmtId="2" fontId="20" fillId="0" borderId="0" xfId="0" applyFont="1" applyFill="1" applyBorder="1"/>
    <xf numFmtId="2" fontId="20" fillId="0" borderId="0" xfId="0" applyFont="1" applyFill="1"/>
    <xf numFmtId="37" fontId="20" fillId="0" borderId="0" xfId="0" applyNumberFormat="1" applyFont="1" applyFill="1" applyBorder="1"/>
    <xf numFmtId="37" fontId="20" fillId="0" borderId="114" xfId="0" applyNumberFormat="1" applyFont="1" applyFill="1" applyBorder="1" applyAlignment="1">
      <alignment horizontal="center"/>
    </xf>
    <xf numFmtId="37" fontId="20" fillId="0" borderId="115" xfId="0" applyNumberFormat="1" applyFont="1" applyFill="1" applyBorder="1"/>
    <xf numFmtId="37" fontId="20" fillId="0" borderId="67" xfId="0" applyNumberFormat="1" applyFont="1" applyFill="1" applyBorder="1"/>
    <xf numFmtId="2" fontId="20" fillId="0" borderId="114" xfId="0" applyFont="1" applyFill="1" applyBorder="1" applyAlignment="1">
      <alignment horizontal="center"/>
    </xf>
    <xf numFmtId="2" fontId="20" fillId="0" borderId="114" xfId="0" applyFont="1" applyFill="1" applyBorder="1"/>
    <xf numFmtId="2" fontId="20" fillId="0" borderId="114" xfId="0" applyFont="1" applyBorder="1"/>
    <xf numFmtId="2" fontId="20" fillId="0" borderId="115" xfId="0" applyFont="1" applyBorder="1"/>
    <xf numFmtId="37" fontId="20" fillId="0" borderId="116" xfId="0" applyNumberFormat="1" applyFont="1" applyFill="1" applyBorder="1"/>
    <xf numFmtId="164" fontId="23" fillId="25" borderId="43" xfId="29" applyNumberFormat="1" applyFont="1" applyFill="1" applyBorder="1" applyProtection="1"/>
    <xf numFmtId="164" fontId="23" fillId="25" borderId="117" xfId="29" applyNumberFormat="1" applyFont="1" applyFill="1" applyBorder="1" applyProtection="1"/>
    <xf numFmtId="164" fontId="23" fillId="25" borderId="43" xfId="30" applyNumberFormat="1" applyFont="1" applyFill="1" applyBorder="1" applyProtection="1"/>
    <xf numFmtId="164" fontId="23" fillId="25" borderId="43" xfId="53" applyNumberFormat="1" applyFont="1" applyFill="1" applyBorder="1" applyProtection="1"/>
    <xf numFmtId="5" fontId="23" fillId="25" borderId="43" xfId="30" applyNumberFormat="1" applyFont="1" applyFill="1" applyBorder="1" applyProtection="1"/>
    <xf numFmtId="164" fontId="23" fillId="25" borderId="117" xfId="30" applyNumberFormat="1" applyFont="1" applyFill="1" applyBorder="1" applyProtection="1"/>
    <xf numFmtId="3" fontId="23" fillId="25" borderId="43" xfId="28" applyNumberFormat="1" applyFont="1" applyFill="1" applyBorder="1" applyProtection="1"/>
    <xf numFmtId="3" fontId="23" fillId="25" borderId="45" xfId="28" applyNumberFormat="1" applyFont="1" applyFill="1" applyBorder="1" applyProtection="1"/>
    <xf numFmtId="3" fontId="23" fillId="25" borderId="44" xfId="28" applyNumberFormat="1" applyFont="1" applyFill="1" applyBorder="1" applyProtection="1"/>
    <xf numFmtId="3" fontId="23" fillId="25" borderId="117" xfId="28" applyNumberFormat="1" applyFont="1" applyFill="1" applyBorder="1" applyProtection="1"/>
    <xf numFmtId="3" fontId="23" fillId="25" borderId="117" xfId="28" applyNumberFormat="1" applyFont="1" applyFill="1" applyBorder="1"/>
    <xf numFmtId="5" fontId="23" fillId="0" borderId="82" xfId="29" applyNumberFormat="1" applyFont="1" applyFill="1" applyBorder="1" applyProtection="1"/>
    <xf numFmtId="164" fontId="23" fillId="0" borderId="85" xfId="29" applyNumberFormat="1" applyFont="1" applyFill="1" applyBorder="1" applyProtection="1"/>
    <xf numFmtId="164" fontId="23" fillId="0" borderId="80" xfId="29" applyNumberFormat="1" applyFont="1" applyFill="1" applyBorder="1" applyProtection="1"/>
    <xf numFmtId="164" fontId="23" fillId="0" borderId="82" xfId="29" applyNumberFormat="1" applyFont="1" applyFill="1" applyBorder="1" applyProtection="1"/>
    <xf numFmtId="5" fontId="23" fillId="0" borderId="80" xfId="29" applyNumberFormat="1" applyFont="1" applyFill="1" applyBorder="1" applyProtection="1"/>
    <xf numFmtId="166" fontId="20" fillId="0" borderId="0" xfId="42" applyNumberFormat="1" applyFont="1" applyFill="1" applyBorder="1" applyAlignment="1">
      <alignment horizontal="centerContinuous"/>
    </xf>
    <xf numFmtId="166" fontId="20" fillId="0" borderId="13" xfId="42" applyNumberFormat="1" applyFont="1" applyFill="1" applyBorder="1" applyAlignment="1" applyProtection="1">
      <alignment horizontal="center"/>
    </xf>
    <xf numFmtId="166" fontId="20" fillId="0" borderId="11" xfId="0" applyNumberFormat="1" applyFont="1" applyFill="1" applyBorder="1"/>
    <xf numFmtId="166" fontId="20" fillId="0" borderId="11" xfId="42" applyNumberFormat="1" applyFont="1" applyFill="1" applyBorder="1"/>
    <xf numFmtId="166" fontId="20" fillId="0" borderId="20" xfId="42" applyNumberFormat="1" applyFont="1" applyFill="1" applyBorder="1" applyProtection="1"/>
    <xf numFmtId="166" fontId="20" fillId="0" borderId="24" xfId="42" applyNumberFormat="1" applyFont="1" applyFill="1" applyBorder="1" applyProtection="1"/>
    <xf numFmtId="166" fontId="20" fillId="0" borderId="15" xfId="42" applyNumberFormat="1" applyFont="1" applyFill="1" applyBorder="1" applyProtection="1"/>
    <xf numFmtId="166" fontId="20" fillId="0" borderId="11" xfId="42" applyNumberFormat="1" applyFont="1" applyFill="1" applyBorder="1" applyProtection="1"/>
    <xf numFmtId="166" fontId="20" fillId="0" borderId="20" xfId="42" applyNumberFormat="1" applyFont="1" applyFill="1" applyBorder="1"/>
    <xf numFmtId="166" fontId="20" fillId="0" borderId="15" xfId="42" applyNumberFormat="1" applyFont="1" applyFill="1" applyBorder="1"/>
    <xf numFmtId="166" fontId="20" fillId="0" borderId="59" xfId="42" applyNumberFormat="1" applyFont="1" applyFill="1" applyBorder="1" applyProtection="1"/>
    <xf numFmtId="166" fontId="20" fillId="0" borderId="17" xfId="42" applyNumberFormat="1" applyFont="1" applyFill="1" applyBorder="1"/>
    <xf numFmtId="166" fontId="20" fillId="0" borderId="100" xfId="42" applyNumberFormat="1" applyFont="1" applyFill="1" applyBorder="1"/>
    <xf numFmtId="166" fontId="20" fillId="0" borderId="101" xfId="42" applyNumberFormat="1" applyFont="1" applyFill="1" applyBorder="1"/>
    <xf numFmtId="166" fontId="20" fillId="0" borderId="20" xfId="28" applyNumberFormat="1" applyFont="1" applyFill="1" applyBorder="1" applyAlignment="1" applyProtection="1">
      <alignment horizontal="left"/>
    </xf>
    <xf numFmtId="166" fontId="20" fillId="0" borderId="23" xfId="42" applyNumberFormat="1" applyFont="1" applyFill="1" applyBorder="1" applyProtection="1"/>
    <xf numFmtId="166" fontId="20" fillId="0" borderId="17" xfId="42" applyNumberFormat="1" applyFont="1" applyFill="1" applyBorder="1" applyProtection="1"/>
    <xf numFmtId="166" fontId="20" fillId="0" borderId="20" xfId="28" applyNumberFormat="1" applyFont="1" applyFill="1" applyBorder="1" applyProtection="1"/>
    <xf numFmtId="4" fontId="20" fillId="0" borderId="20" xfId="28" applyFont="1" applyFill="1" applyBorder="1" applyProtection="1"/>
    <xf numFmtId="2" fontId="20" fillId="0" borderId="20" xfId="0" applyFont="1" applyFill="1" applyBorder="1"/>
    <xf numFmtId="2" fontId="20" fillId="0" borderId="11" xfId="0" applyFont="1" applyFill="1" applyBorder="1"/>
    <xf numFmtId="2" fontId="20" fillId="0" borderId="23" xfId="0" applyFont="1" applyFill="1" applyBorder="1"/>
    <xf numFmtId="2" fontId="20" fillId="0" borderId="24" xfId="0" applyFont="1" applyFill="1" applyBorder="1"/>
    <xf numFmtId="2" fontId="20" fillId="0" borderId="15" xfId="0" applyFont="1" applyFill="1" applyBorder="1"/>
    <xf numFmtId="2" fontId="20" fillId="0" borderId="17" xfId="0" applyFont="1" applyFill="1" applyBorder="1"/>
    <xf numFmtId="166" fontId="20" fillId="0" borderId="11" xfId="42" applyNumberFormat="1" applyFont="1" applyFill="1" applyBorder="1" applyAlignment="1">
      <alignment horizontal="centerContinuous"/>
    </xf>
    <xf numFmtId="166" fontId="20" fillId="0" borderId="11" xfId="0" applyNumberFormat="1" applyFont="1" applyFill="1" applyBorder="1" applyAlignment="1">
      <alignment horizontal="centerContinuous"/>
    </xf>
    <xf numFmtId="2" fontId="26" fillId="0" borderId="41" xfId="46" applyFont="1" applyFill="1" applyBorder="1" applyAlignment="1">
      <alignment horizontal="centerContinuous"/>
    </xf>
    <xf numFmtId="37" fontId="20" fillId="0" borderId="44" xfId="29" applyNumberFormat="1" applyFont="1" applyFill="1" applyBorder="1" applyProtection="1"/>
    <xf numFmtId="37" fontId="20" fillId="0" borderId="18" xfId="29" applyNumberFormat="1" applyFont="1" applyFill="1" applyBorder="1" applyAlignment="1" applyProtection="1">
      <alignment horizontal="right"/>
    </xf>
    <xf numFmtId="37" fontId="20" fillId="0" borderId="41" xfId="29" applyNumberFormat="1" applyFont="1" applyFill="1" applyBorder="1" applyProtection="1"/>
    <xf numFmtId="37" fontId="20" fillId="0" borderId="18" xfId="29" applyNumberFormat="1" applyFont="1" applyFill="1" applyBorder="1" applyProtection="1"/>
    <xf numFmtId="5" fontId="20" fillId="0" borderId="119" xfId="29" applyNumberFormat="1" applyFont="1" applyFill="1" applyBorder="1"/>
    <xf numFmtId="164" fontId="20" fillId="0" borderId="119" xfId="29" applyNumberFormat="1" applyFont="1" applyFill="1" applyBorder="1" applyProtection="1"/>
    <xf numFmtId="5" fontId="20" fillId="0" borderId="45" xfId="29" applyNumberFormat="1" applyFont="1" applyFill="1" applyBorder="1" applyProtection="1"/>
    <xf numFmtId="5" fontId="20" fillId="0" borderId="46" xfId="29" applyNumberFormat="1" applyFont="1" applyFill="1" applyBorder="1" applyProtection="1"/>
    <xf numFmtId="2" fontId="20" fillId="0" borderId="119" xfId="0" applyFont="1" applyFill="1" applyBorder="1"/>
    <xf numFmtId="166" fontId="23" fillId="0" borderId="11" xfId="46" applyNumberFormat="1" applyFont="1" applyFill="1" applyBorder="1" applyAlignment="1">
      <alignment horizontal="centerContinuous"/>
    </xf>
    <xf numFmtId="5" fontId="23" fillId="0" borderId="43" xfId="29" applyNumberFormat="1" applyFont="1" applyFill="1" applyBorder="1" applyProtection="1"/>
    <xf numFmtId="5" fontId="23" fillId="0" borderId="44" xfId="29" applyNumberFormat="1" applyFont="1" applyFill="1" applyBorder="1" applyProtection="1"/>
    <xf numFmtId="5" fontId="23" fillId="0" borderId="41" xfId="29" applyNumberFormat="1" applyFont="1" applyFill="1" applyBorder="1"/>
    <xf numFmtId="5" fontId="23" fillId="0" borderId="73" xfId="29" applyNumberFormat="1" applyFont="1" applyFill="1" applyBorder="1"/>
    <xf numFmtId="5" fontId="23" fillId="0" borderId="55" xfId="29" applyNumberFormat="1" applyFont="1" applyFill="1" applyBorder="1"/>
    <xf numFmtId="5" fontId="23" fillId="0" borderId="119" xfId="29" applyNumberFormat="1" applyFont="1" applyFill="1" applyBorder="1"/>
    <xf numFmtId="5" fontId="23" fillId="0" borderId="119" xfId="29" applyNumberFormat="1" applyFont="1" applyFill="1" applyBorder="1" applyProtection="1"/>
    <xf numFmtId="4" fontId="23" fillId="0" borderId="43" xfId="28" applyFont="1" applyFill="1" applyBorder="1" applyProtection="1"/>
    <xf numFmtId="5" fontId="23" fillId="0" borderId="45" xfId="29" applyNumberFormat="1" applyFont="1" applyFill="1" applyBorder="1" applyProtection="1"/>
    <xf numFmtId="5" fontId="23" fillId="0" borderId="46" xfId="29" applyNumberFormat="1" applyFont="1" applyFill="1" applyBorder="1" applyProtection="1"/>
    <xf numFmtId="164" fontId="23" fillId="0" borderId="119" xfId="29" applyNumberFormat="1" applyFont="1" applyFill="1" applyBorder="1" applyProtection="1"/>
    <xf numFmtId="164" fontId="23" fillId="0" borderId="45" xfId="29" applyNumberFormat="1" applyFont="1" applyFill="1" applyBorder="1" applyProtection="1"/>
    <xf numFmtId="164" fontId="23" fillId="0" borderId="46" xfId="29" applyNumberFormat="1" applyFont="1" applyFill="1" applyBorder="1" applyProtection="1"/>
    <xf numFmtId="9" fontId="23" fillId="0" borderId="41" xfId="42" applyFont="1" applyFill="1" applyBorder="1" applyProtection="1"/>
    <xf numFmtId="164" fontId="23" fillId="0" borderId="41" xfId="29" applyNumberFormat="1" applyFont="1" applyFill="1" applyBorder="1" applyProtection="1"/>
    <xf numFmtId="4" fontId="23" fillId="0" borderId="44" xfId="28" applyFont="1" applyFill="1" applyBorder="1" applyProtection="1"/>
    <xf numFmtId="164" fontId="23" fillId="0" borderId="43" xfId="29" applyNumberFormat="1" applyFont="1" applyFill="1" applyBorder="1" applyProtection="1"/>
    <xf numFmtId="164" fontId="23" fillId="0" borderId="44" xfId="29" applyNumberFormat="1" applyFont="1" applyFill="1" applyBorder="1" applyProtection="1"/>
    <xf numFmtId="4" fontId="23" fillId="0" borderId="43" xfId="28" applyNumberFormat="1" applyFont="1" applyFill="1" applyBorder="1" applyProtection="1"/>
    <xf numFmtId="5" fontId="23" fillId="0" borderId="41" xfId="28" applyNumberFormat="1" applyFont="1" applyFill="1" applyBorder="1" applyProtection="1"/>
    <xf numFmtId="5" fontId="23" fillId="0" borderId="18" xfId="28" applyNumberFormat="1" applyFont="1" applyFill="1" applyBorder="1" applyProtection="1"/>
    <xf numFmtId="5" fontId="23" fillId="0" borderId="46" xfId="28" applyNumberFormat="1" applyFont="1" applyFill="1" applyBorder="1"/>
    <xf numFmtId="168" fontId="12" fillId="0" borderId="123" xfId="46" applyNumberFormat="1" applyFont="1" applyBorder="1" applyAlignment="1">
      <alignment horizontal="left"/>
    </xf>
    <xf numFmtId="37" fontId="20" fillId="0" borderId="73" xfId="0" applyNumberFormat="1" applyFont="1" applyFill="1" applyBorder="1"/>
    <xf numFmtId="2" fontId="20" fillId="0" borderId="96" xfId="0" applyFont="1" applyBorder="1"/>
    <xf numFmtId="2" fontId="20" fillId="0" borderId="68" xfId="0" applyFont="1" applyBorder="1"/>
    <xf numFmtId="2" fontId="20" fillId="0" borderId="97" xfId="0" applyFont="1" applyBorder="1"/>
    <xf numFmtId="166" fontId="20" fillId="0" borderId="71" xfId="0" applyNumberFormat="1" applyFont="1" applyFill="1" applyBorder="1"/>
    <xf numFmtId="2" fontId="20" fillId="0" borderId="67" xfId="0" applyFont="1" applyFill="1" applyBorder="1" applyAlignment="1">
      <alignment horizontal="center"/>
    </xf>
    <xf numFmtId="37" fontId="20" fillId="0" borderId="108" xfId="0" applyNumberFormat="1" applyFont="1" applyFill="1" applyBorder="1"/>
    <xf numFmtId="2" fontId="20" fillId="0" borderId="71" xfId="0" applyFont="1" applyBorder="1"/>
    <xf numFmtId="37" fontId="20" fillId="0" borderId="125" xfId="0" applyNumberFormat="1" applyFont="1" applyFill="1" applyBorder="1"/>
    <xf numFmtId="37" fontId="20" fillId="0" borderId="120" xfId="0" applyNumberFormat="1" applyFont="1" applyFill="1" applyBorder="1"/>
    <xf numFmtId="2" fontId="20" fillId="0" borderId="73" xfId="0" applyFont="1" applyFill="1" applyBorder="1" applyAlignment="1">
      <alignment horizontal="center"/>
    </xf>
    <xf numFmtId="37" fontId="20" fillId="0" borderId="74" xfId="0" applyNumberFormat="1" applyFont="1" applyFill="1" applyBorder="1"/>
    <xf numFmtId="37" fontId="20" fillId="0" borderId="126" xfId="0" applyNumberFormat="1" applyFont="1" applyFill="1" applyBorder="1"/>
    <xf numFmtId="37" fontId="20" fillId="0" borderId="68" xfId="0" applyNumberFormat="1" applyFont="1" applyFill="1" applyBorder="1"/>
    <xf numFmtId="2" fontId="20" fillId="0" borderId="94" xfId="0" applyFont="1" applyBorder="1"/>
    <xf numFmtId="37" fontId="20" fillId="0" borderId="124" xfId="0" applyNumberFormat="1" applyFont="1" applyFill="1" applyBorder="1"/>
    <xf numFmtId="166" fontId="20" fillId="0" borderId="73" xfId="0" applyNumberFormat="1" applyFont="1" applyFill="1" applyBorder="1"/>
    <xf numFmtId="166" fontId="20" fillId="0" borderId="67" xfId="0" applyNumberFormat="1" applyFont="1" applyFill="1" applyBorder="1"/>
    <xf numFmtId="2" fontId="20" fillId="0" borderId="126" xfId="0" applyFont="1" applyBorder="1"/>
    <xf numFmtId="168" fontId="23" fillId="0" borderId="20" xfId="46" applyNumberFormat="1" applyFont="1" applyBorder="1" applyAlignment="1" applyProtection="1">
      <alignment horizontal="left"/>
    </xf>
    <xf numFmtId="166" fontId="23" fillId="25" borderId="29" xfId="42" applyNumberFormat="1" applyFont="1" applyFill="1" applyBorder="1" applyProtection="1"/>
    <xf numFmtId="5" fontId="23" fillId="0" borderId="85" xfId="29" applyNumberFormat="1" applyFont="1" applyFill="1" applyBorder="1" applyProtection="1"/>
    <xf numFmtId="164" fontId="23" fillId="25" borderId="43" xfId="29" applyNumberFormat="1" applyFont="1" applyFill="1" applyBorder="1" applyProtection="1"/>
    <xf numFmtId="2" fontId="20" fillId="0" borderId="122" xfId="0" applyFont="1" applyBorder="1"/>
    <xf numFmtId="2" fontId="20" fillId="0" borderId="119" xfId="0" applyFont="1" applyFill="1" applyBorder="1" applyAlignment="1">
      <alignment horizontal="center"/>
    </xf>
    <xf numFmtId="168" fontId="10" fillId="0" borderId="0" xfId="0" applyNumberFormat="1" applyFont="1"/>
    <xf numFmtId="168" fontId="11" fillId="0" borderId="0" xfId="0" applyNumberFormat="1" applyFont="1"/>
    <xf numFmtId="168" fontId="23" fillId="0" borderId="20" xfId="0" applyNumberFormat="1" applyFont="1" applyBorder="1" applyAlignment="1" applyProtection="1">
      <alignment horizontal="left"/>
    </xf>
    <xf numFmtId="168" fontId="22" fillId="0" borderId="28" xfId="28" applyNumberFormat="1" applyFont="1" applyBorder="1" applyAlignment="1">
      <alignment horizontal="center"/>
    </xf>
    <xf numFmtId="49" fontId="22" fillId="0" borderId="19" xfId="28" applyNumberFormat="1" applyFont="1" applyBorder="1" applyAlignment="1">
      <alignment horizontal="center"/>
    </xf>
    <xf numFmtId="166" fontId="23" fillId="0" borderId="29" xfId="42" applyNumberFormat="1" applyFont="1" applyFill="1" applyBorder="1" applyProtection="1"/>
    <xf numFmtId="5" fontId="23" fillId="0" borderId="80" xfId="29" applyNumberFormat="1" applyFont="1" applyFill="1" applyBorder="1" applyProtection="1"/>
    <xf numFmtId="166" fontId="23" fillId="25" borderId="29" xfId="42" applyNumberFormat="1" applyFont="1" applyFill="1" applyBorder="1" applyProtection="1"/>
    <xf numFmtId="164" fontId="23" fillId="25" borderId="35" xfId="29" applyNumberFormat="1" applyFont="1" applyFill="1" applyBorder="1" applyProtection="1"/>
    <xf numFmtId="2" fontId="0" fillId="0" borderId="0" xfId="0"/>
    <xf numFmtId="2" fontId="20" fillId="0" borderId="0" xfId="0" applyFont="1" applyBorder="1"/>
    <xf numFmtId="168" fontId="23" fillId="0" borderId="20" xfId="0" applyNumberFormat="1" applyFont="1" applyBorder="1" applyAlignment="1" applyProtection="1">
      <alignment horizontal="left"/>
    </xf>
    <xf numFmtId="2" fontId="0" fillId="0" borderId="0" xfId="0"/>
    <xf numFmtId="2" fontId="20" fillId="0" borderId="0" xfId="0" applyFont="1" applyBorder="1"/>
    <xf numFmtId="168" fontId="22" fillId="0" borderId="27" xfId="0" applyNumberFormat="1" applyFont="1" applyBorder="1" applyAlignment="1">
      <alignment horizontal="center"/>
    </xf>
    <xf numFmtId="168" fontId="22" fillId="0" borderId="28" xfId="0" applyNumberFormat="1" applyFont="1" applyBorder="1" applyAlignment="1">
      <alignment horizontal="center"/>
    </xf>
    <xf numFmtId="168" fontId="22" fillId="0" borderId="35" xfId="0" applyNumberFormat="1" applyFont="1" applyBorder="1" applyAlignment="1">
      <alignment horizontal="center"/>
    </xf>
    <xf numFmtId="168" fontId="12" fillId="0" borderId="71" xfId="0" applyNumberFormat="1" applyFont="1" applyBorder="1" applyAlignment="1">
      <alignment horizontal="left"/>
    </xf>
    <xf numFmtId="37" fontId="20" fillId="0" borderId="107" xfId="0" applyNumberFormat="1" applyFont="1" applyFill="1" applyBorder="1"/>
    <xf numFmtId="2" fontId="20" fillId="0" borderId="67" xfId="0" applyFont="1" applyBorder="1"/>
    <xf numFmtId="168" fontId="12" fillId="0" borderId="0" xfId="46" applyNumberFormat="1" applyFont="1" applyBorder="1" applyAlignment="1">
      <alignment horizontal="left"/>
    </xf>
    <xf numFmtId="5" fontId="23" fillId="0" borderId="80" xfId="29" applyNumberFormat="1" applyFont="1" applyFill="1" applyBorder="1" applyProtection="1"/>
    <xf numFmtId="168" fontId="12" fillId="0" borderId="71" xfId="46" applyNumberFormat="1" applyFont="1" applyBorder="1" applyAlignment="1">
      <alignment horizontal="left"/>
    </xf>
    <xf numFmtId="168" fontId="12" fillId="0" borderId="121" xfId="46" applyNumberFormat="1" applyFont="1" applyBorder="1" applyAlignment="1">
      <alignment horizontal="left"/>
    </xf>
    <xf numFmtId="168" fontId="12" fillId="0" borderId="118" xfId="46" applyNumberFormat="1" applyFont="1" applyBorder="1" applyAlignment="1">
      <alignment horizontal="left"/>
    </xf>
    <xf numFmtId="168" fontId="12" fillId="0" borderId="72" xfId="46" applyNumberFormat="1" applyFont="1" applyBorder="1" applyAlignment="1">
      <alignment horizontal="left"/>
    </xf>
    <xf numFmtId="166" fontId="23" fillId="26" borderId="29" xfId="42" applyNumberFormat="1" applyFont="1" applyFill="1" applyBorder="1" applyAlignment="1" applyProtection="1">
      <alignment horizontal="right"/>
    </xf>
    <xf numFmtId="166" fontId="23" fillId="26" borderId="30" xfId="42" applyNumberFormat="1" applyFont="1" applyFill="1" applyBorder="1" applyAlignment="1" applyProtection="1">
      <alignment horizontal="right"/>
    </xf>
    <xf numFmtId="166" fontId="23" fillId="26" borderId="25" xfId="42" applyNumberFormat="1" applyFont="1" applyFill="1" applyBorder="1" applyAlignment="1" applyProtection="1">
      <alignment horizontal="right"/>
    </xf>
    <xf numFmtId="166" fontId="23" fillId="26" borderId="96" xfId="42" applyNumberFormat="1" applyFont="1" applyFill="1" applyBorder="1"/>
    <xf numFmtId="166" fontId="23" fillId="26" borderId="94" xfId="42" applyNumberFormat="1" applyFont="1" applyFill="1" applyBorder="1"/>
    <xf numFmtId="166" fontId="23" fillId="26" borderId="95" xfId="42" applyNumberFormat="1" applyFont="1" applyFill="1" applyBorder="1"/>
    <xf numFmtId="166" fontId="23" fillId="26" borderId="108" xfId="42" applyNumberFormat="1" applyFont="1" applyFill="1" applyBorder="1"/>
    <xf numFmtId="166" fontId="23" fillId="26" borderId="109" xfId="42" applyNumberFormat="1" applyFont="1" applyFill="1" applyBorder="1"/>
    <xf numFmtId="166" fontId="23" fillId="26" borderId="107" xfId="42" applyNumberFormat="1" applyFont="1" applyFill="1" applyBorder="1"/>
    <xf numFmtId="166" fontId="23" fillId="26" borderId="99" xfId="42" applyNumberFormat="1" applyFont="1" applyFill="1" applyBorder="1"/>
    <xf numFmtId="164" fontId="23" fillId="26" borderId="43" xfId="29" applyNumberFormat="1" applyFont="1" applyFill="1" applyBorder="1" applyProtection="1"/>
    <xf numFmtId="164" fontId="23" fillId="26" borderId="117" xfId="29" applyNumberFormat="1" applyFont="1" applyFill="1" applyBorder="1" applyProtection="1"/>
    <xf numFmtId="166" fontId="23" fillId="26" borderId="110" xfId="42" applyNumberFormat="1" applyFont="1" applyFill="1" applyBorder="1"/>
    <xf numFmtId="166" fontId="23" fillId="26" borderId="111" xfId="42" applyNumberFormat="1" applyFont="1" applyFill="1" applyBorder="1"/>
    <xf numFmtId="164" fontId="23" fillId="26" borderId="43" xfId="30" applyNumberFormat="1" applyFont="1" applyFill="1" applyBorder="1" applyProtection="1"/>
    <xf numFmtId="164" fontId="23" fillId="26" borderId="43" xfId="53" applyNumberFormat="1" applyFont="1" applyFill="1" applyBorder="1" applyProtection="1"/>
    <xf numFmtId="5" fontId="23" fillId="26" borderId="43" xfId="30" applyNumberFormat="1" applyFont="1" applyFill="1" applyBorder="1" applyProtection="1"/>
    <xf numFmtId="164" fontId="23" fillId="26" borderId="117" xfId="30" applyNumberFormat="1" applyFont="1" applyFill="1" applyBorder="1" applyProtection="1"/>
    <xf numFmtId="166" fontId="23" fillId="26" borderId="97" xfId="42" applyNumberFormat="1" applyFont="1" applyFill="1" applyBorder="1" applyProtection="1"/>
    <xf numFmtId="166" fontId="23" fillId="26" borderId="99" xfId="42" applyNumberFormat="1" applyFont="1" applyFill="1" applyBorder="1" applyProtection="1"/>
    <xf numFmtId="166" fontId="23" fillId="26" borderId="98" xfId="42" applyNumberFormat="1" applyFont="1" applyFill="1" applyBorder="1" applyProtection="1"/>
    <xf numFmtId="166" fontId="23" fillId="26" borderId="95" xfId="42" applyNumberFormat="1" applyFont="1" applyFill="1" applyBorder="1" applyProtection="1"/>
    <xf numFmtId="164" fontId="23" fillId="26" borderId="108" xfId="29" applyNumberFormat="1" applyFont="1" applyFill="1" applyBorder="1" applyProtection="1"/>
    <xf numFmtId="166" fontId="23" fillId="26" borderId="109" xfId="42" applyNumberFormat="1" applyFont="1" applyFill="1" applyBorder="1" applyProtection="1"/>
    <xf numFmtId="3" fontId="23" fillId="26" borderId="43" xfId="28" applyNumberFormat="1" applyFont="1" applyFill="1" applyBorder="1" applyProtection="1"/>
    <xf numFmtId="3" fontId="23" fillId="26" borderId="45" xfId="28" applyNumberFormat="1" applyFont="1" applyFill="1" applyBorder="1" applyProtection="1"/>
    <xf numFmtId="3" fontId="23" fillId="26" borderId="44" xfId="28" applyNumberFormat="1" applyFont="1" applyFill="1" applyBorder="1" applyProtection="1"/>
    <xf numFmtId="3" fontId="23" fillId="26" borderId="117" xfId="28" applyNumberFormat="1" applyFont="1" applyFill="1" applyBorder="1" applyProtection="1"/>
    <xf numFmtId="5" fontId="23" fillId="26" borderId="112" xfId="28" applyNumberFormat="1" applyFont="1" applyFill="1" applyBorder="1" applyProtection="1"/>
    <xf numFmtId="2" fontId="23" fillId="26" borderId="113" xfId="0" applyFont="1" applyFill="1" applyBorder="1"/>
    <xf numFmtId="3" fontId="23" fillId="26" borderId="117" xfId="28" applyNumberFormat="1" applyFont="1" applyFill="1" applyBorder="1"/>
    <xf numFmtId="39" fontId="10" fillId="0" borderId="0" xfId="0" applyNumberFormat="1" applyFont="1"/>
    <xf numFmtId="5" fontId="23" fillId="0" borderId="82" xfId="29" applyNumberFormat="1" applyFont="1" applyFill="1" applyBorder="1" applyProtection="1"/>
    <xf numFmtId="37" fontId="20" fillId="0" borderId="51" xfId="42" applyNumberFormat="1" applyFont="1" applyFill="1" applyBorder="1" applyAlignment="1" applyProtection="1">
      <alignment horizontal="right"/>
    </xf>
    <xf numFmtId="2" fontId="25" fillId="0" borderId="76" xfId="46" applyFont="1" applyFill="1" applyBorder="1" applyAlignment="1">
      <alignment horizontal="centerContinuous"/>
    </xf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0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0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0" xfId="29" applyNumberFormat="1" applyFont="1" applyFill="1" applyBorder="1" applyProtection="1"/>
    <xf numFmtId="5" fontId="23" fillId="0" borderId="82" xfId="29" applyNumberFormat="1" applyFont="1" applyFill="1" applyBorder="1" applyProtection="1"/>
    <xf numFmtId="5" fontId="23" fillId="0" borderId="80" xfId="29" applyNumberFormat="1" applyFont="1" applyFill="1" applyBorder="1" applyProtection="1"/>
    <xf numFmtId="5" fontId="23" fillId="0" borderId="82" xfId="29" applyNumberFormat="1" applyFont="1" applyFill="1" applyBorder="1" applyProtection="1"/>
    <xf numFmtId="5" fontId="23" fillId="0" borderId="80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0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0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0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166" fontId="23" fillId="26" borderId="96" xfId="0" applyNumberFormat="1" applyFont="1" applyFill="1" applyBorder="1"/>
    <xf numFmtId="5" fontId="23" fillId="0" borderId="80" xfId="29" applyNumberFormat="1" applyFont="1" applyFill="1" applyBorder="1" applyProtection="1"/>
    <xf numFmtId="5" fontId="23" fillId="0" borderId="82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2" fontId="25" fillId="27" borderId="34" xfId="0" applyFont="1" applyFill="1" applyBorder="1" applyAlignment="1">
      <alignment horizontal="centerContinuous"/>
    </xf>
    <xf numFmtId="166" fontId="23" fillId="27" borderId="25" xfId="0" applyNumberFormat="1" applyFont="1" applyFill="1" applyBorder="1" applyAlignment="1">
      <alignment horizontal="centerContinuous"/>
    </xf>
    <xf numFmtId="164" fontId="23" fillId="27" borderId="36" xfId="29" applyNumberFormat="1" applyFont="1" applyFill="1" applyBorder="1" applyAlignment="1" applyProtection="1">
      <alignment horizontal="center"/>
    </xf>
    <xf numFmtId="166" fontId="23" fillId="27" borderId="26" xfId="42" applyNumberFormat="1" applyFont="1" applyFill="1" applyBorder="1" applyAlignment="1" applyProtection="1">
      <alignment horizontal="center"/>
    </xf>
    <xf numFmtId="166" fontId="23" fillId="27" borderId="0" xfId="0" applyNumberFormat="1" applyFont="1" applyFill="1" applyBorder="1"/>
    <xf numFmtId="166" fontId="23" fillId="27" borderId="96" xfId="0" applyNumberFormat="1" applyFont="1" applyFill="1" applyBorder="1"/>
    <xf numFmtId="164" fontId="23" fillId="27" borderId="35" xfId="29" applyNumberFormat="1" applyFont="1" applyFill="1" applyBorder="1" applyAlignment="1" applyProtection="1">
      <alignment horizontal="right"/>
    </xf>
    <xf numFmtId="166" fontId="23" fillId="27" borderId="29" xfId="42" applyNumberFormat="1" applyFont="1" applyFill="1" applyBorder="1" applyAlignment="1" applyProtection="1">
      <alignment horizontal="right"/>
    </xf>
    <xf numFmtId="164" fontId="23" fillId="27" borderId="37" xfId="29" applyNumberFormat="1" applyFont="1" applyFill="1" applyBorder="1" applyAlignment="1" applyProtection="1">
      <alignment horizontal="right"/>
    </xf>
    <xf numFmtId="164" fontId="23" fillId="27" borderId="38" xfId="29" applyNumberFormat="1" applyFont="1" applyFill="1" applyBorder="1" applyAlignment="1" applyProtection="1">
      <alignment horizontal="right"/>
    </xf>
    <xf numFmtId="166" fontId="23" fillId="27" borderId="30" xfId="42" applyNumberFormat="1" applyFont="1" applyFill="1" applyBorder="1" applyAlignment="1" applyProtection="1">
      <alignment horizontal="right"/>
    </xf>
    <xf numFmtId="5" fontId="23" fillId="27" borderId="39" xfId="29" applyNumberFormat="1" applyFont="1" applyFill="1" applyBorder="1" applyAlignment="1" applyProtection="1">
      <alignment horizontal="right"/>
    </xf>
    <xf numFmtId="5" fontId="23" fillId="27" borderId="34" xfId="29" applyNumberFormat="1" applyFont="1" applyFill="1" applyBorder="1" applyAlignment="1" applyProtection="1">
      <alignment horizontal="right"/>
    </xf>
    <xf numFmtId="166" fontId="23" fillId="27" borderId="25" xfId="42" applyNumberFormat="1" applyFont="1" applyFill="1" applyBorder="1" applyAlignment="1" applyProtection="1">
      <alignment horizontal="right"/>
    </xf>
    <xf numFmtId="164" fontId="23" fillId="27" borderId="34" xfId="29" applyNumberFormat="1" applyFont="1" applyFill="1" applyBorder="1" applyProtection="1"/>
    <xf numFmtId="166" fontId="23" fillId="27" borderId="25" xfId="42" applyNumberFormat="1" applyFont="1" applyFill="1" applyBorder="1"/>
    <xf numFmtId="164" fontId="23" fillId="27" borderId="35" xfId="29" applyNumberFormat="1" applyFont="1" applyFill="1" applyBorder="1" applyProtection="1"/>
    <xf numFmtId="166" fontId="23" fillId="27" borderId="29" xfId="42" applyNumberFormat="1" applyFont="1" applyFill="1" applyBorder="1" applyProtection="1"/>
    <xf numFmtId="5" fontId="23" fillId="27" borderId="35" xfId="29" applyNumberFormat="1" applyFont="1" applyFill="1" applyBorder="1" applyProtection="1"/>
    <xf numFmtId="164" fontId="23" fillId="27" borderId="37" xfId="29" applyNumberFormat="1" applyFont="1" applyFill="1" applyBorder="1" applyProtection="1"/>
    <xf numFmtId="166" fontId="23" fillId="27" borderId="32" xfId="42" applyNumberFormat="1" applyFont="1" applyFill="1" applyBorder="1" applyProtection="1"/>
    <xf numFmtId="166" fontId="23" fillId="27" borderId="30" xfId="42" applyNumberFormat="1" applyFont="1" applyFill="1" applyBorder="1" applyProtection="1"/>
    <xf numFmtId="166" fontId="23" fillId="27" borderId="25" xfId="42" applyNumberFormat="1" applyFont="1" applyFill="1" applyBorder="1" applyProtection="1"/>
    <xf numFmtId="164" fontId="23" fillId="27" borderId="38" xfId="29" applyNumberFormat="1" applyFont="1" applyFill="1" applyBorder="1" applyProtection="1"/>
    <xf numFmtId="164" fontId="23" fillId="27" borderId="34" xfId="29" applyNumberFormat="1" applyFont="1" applyFill="1" applyBorder="1"/>
    <xf numFmtId="5" fontId="23" fillId="27" borderId="38" xfId="29" applyNumberFormat="1" applyFont="1" applyFill="1" applyBorder="1" applyProtection="1"/>
    <xf numFmtId="164" fontId="23" fillId="27" borderId="35" xfId="29" applyNumberFormat="1" applyFont="1" applyFill="1" applyBorder="1"/>
    <xf numFmtId="166" fontId="23" fillId="27" borderId="29" xfId="42" applyNumberFormat="1" applyFont="1" applyFill="1" applyBorder="1"/>
    <xf numFmtId="164" fontId="23" fillId="27" borderId="38" xfId="29" applyNumberFormat="1" applyFont="1" applyFill="1" applyBorder="1"/>
    <xf numFmtId="166" fontId="23" fillId="27" borderId="30" xfId="42" applyNumberFormat="1" applyFont="1" applyFill="1" applyBorder="1"/>
    <xf numFmtId="164" fontId="23" fillId="27" borderId="63" xfId="29" applyNumberFormat="1" applyFont="1" applyFill="1" applyBorder="1" applyProtection="1"/>
    <xf numFmtId="166" fontId="23" fillId="27" borderId="62" xfId="42" applyNumberFormat="1" applyFont="1" applyFill="1" applyBorder="1" applyProtection="1"/>
    <xf numFmtId="5" fontId="23" fillId="27" borderId="40" xfId="29" applyNumberFormat="1" applyFont="1" applyFill="1" applyBorder="1"/>
    <xf numFmtId="166" fontId="23" fillId="27" borderId="33" xfId="42" applyNumberFormat="1" applyFont="1" applyFill="1" applyBorder="1"/>
    <xf numFmtId="166" fontId="23" fillId="27" borderId="0" xfId="42" applyNumberFormat="1" applyFont="1" applyFill="1" applyBorder="1"/>
    <xf numFmtId="166" fontId="23" fillId="27" borderId="96" xfId="42" applyNumberFormat="1" applyFont="1" applyFill="1" applyBorder="1"/>
    <xf numFmtId="166" fontId="23" fillId="27" borderId="71" xfId="42" applyNumberFormat="1" applyFont="1" applyFill="1" applyBorder="1"/>
    <xf numFmtId="166" fontId="23" fillId="27" borderId="94" xfId="42" applyNumberFormat="1" applyFont="1" applyFill="1" applyBorder="1"/>
    <xf numFmtId="166" fontId="23" fillId="27" borderId="72" xfId="42" applyNumberFormat="1" applyFont="1" applyFill="1" applyBorder="1"/>
    <xf numFmtId="166" fontId="23" fillId="27" borderId="95" xfId="42" applyNumberFormat="1" applyFont="1" applyFill="1" applyBorder="1"/>
    <xf numFmtId="166" fontId="23" fillId="27" borderId="108" xfId="42" applyNumberFormat="1" applyFont="1" applyFill="1" applyBorder="1"/>
    <xf numFmtId="166" fontId="23" fillId="27" borderId="109" xfId="42" applyNumberFormat="1" applyFont="1" applyFill="1" applyBorder="1"/>
    <xf numFmtId="166" fontId="23" fillId="27" borderId="107" xfId="42" applyNumberFormat="1" applyFont="1" applyFill="1" applyBorder="1"/>
    <xf numFmtId="166" fontId="23" fillId="27" borderId="99" xfId="42" applyNumberFormat="1" applyFont="1" applyFill="1" applyBorder="1"/>
    <xf numFmtId="4" fontId="23" fillId="27" borderId="35" xfId="28" applyFont="1" applyFill="1" applyBorder="1" applyProtection="1"/>
    <xf numFmtId="166" fontId="23" fillId="27" borderId="29" xfId="28" applyNumberFormat="1" applyFont="1" applyFill="1" applyBorder="1" applyAlignment="1" applyProtection="1">
      <alignment horizontal="left"/>
    </xf>
    <xf numFmtId="164" fontId="23" fillId="27" borderId="39" xfId="29" applyNumberFormat="1" applyFont="1" applyFill="1" applyBorder="1" applyProtection="1"/>
    <xf numFmtId="166" fontId="23" fillId="27" borderId="31" xfId="42" applyNumberFormat="1" applyFont="1" applyFill="1" applyBorder="1" applyProtection="1"/>
    <xf numFmtId="164" fontId="23" fillId="27" borderId="40" xfId="29" applyNumberFormat="1" applyFont="1" applyFill="1" applyBorder="1" applyProtection="1"/>
    <xf numFmtId="166" fontId="23" fillId="27" borderId="33" xfId="42" applyNumberFormat="1" applyFont="1" applyFill="1" applyBorder="1" applyProtection="1"/>
    <xf numFmtId="166" fontId="23" fillId="27" borderId="29" xfId="28" applyNumberFormat="1" applyFont="1" applyFill="1" applyBorder="1" applyProtection="1"/>
    <xf numFmtId="164" fontId="23" fillId="27" borderId="43" xfId="29" applyNumberFormat="1" applyFont="1" applyFill="1" applyBorder="1" applyProtection="1"/>
    <xf numFmtId="164" fontId="23" fillId="27" borderId="117" xfId="29" applyNumberFormat="1" applyFont="1" applyFill="1" applyBorder="1" applyProtection="1"/>
    <xf numFmtId="166" fontId="23" fillId="27" borderId="110" xfId="42" applyNumberFormat="1" applyFont="1" applyFill="1" applyBorder="1"/>
    <xf numFmtId="166" fontId="23" fillId="27" borderId="111" xfId="42" applyNumberFormat="1" applyFont="1" applyFill="1" applyBorder="1"/>
    <xf numFmtId="164" fontId="23" fillId="27" borderId="43" xfId="30" applyNumberFormat="1" applyFont="1" applyFill="1" applyBorder="1" applyProtection="1"/>
    <xf numFmtId="164" fontId="23" fillId="27" borderId="43" xfId="53" applyNumberFormat="1" applyFont="1" applyFill="1" applyBorder="1" applyProtection="1"/>
    <xf numFmtId="5" fontId="23" fillId="27" borderId="43" xfId="30" applyNumberFormat="1" applyFont="1" applyFill="1" applyBorder="1" applyProtection="1"/>
    <xf numFmtId="164" fontId="23" fillId="27" borderId="117" xfId="30" applyNumberFormat="1" applyFont="1" applyFill="1" applyBorder="1" applyProtection="1"/>
    <xf numFmtId="166" fontId="23" fillId="27" borderId="27" xfId="42" applyNumberFormat="1" applyFont="1" applyFill="1" applyBorder="1"/>
    <xf numFmtId="166" fontId="23" fillId="27" borderId="28" xfId="42" applyNumberFormat="1" applyFont="1" applyFill="1" applyBorder="1" applyProtection="1"/>
    <xf numFmtId="166" fontId="23" fillId="27" borderId="97" xfId="42" applyNumberFormat="1" applyFont="1" applyFill="1" applyBorder="1" applyProtection="1"/>
    <xf numFmtId="166" fontId="23" fillId="27" borderId="27" xfId="42" applyNumberFormat="1" applyFont="1" applyFill="1" applyBorder="1" applyProtection="1"/>
    <xf numFmtId="166" fontId="23" fillId="27" borderId="99" xfId="42" applyNumberFormat="1" applyFont="1" applyFill="1" applyBorder="1" applyProtection="1"/>
    <xf numFmtId="166" fontId="23" fillId="27" borderId="69" xfId="42" applyNumberFormat="1" applyFont="1" applyFill="1" applyBorder="1" applyProtection="1"/>
    <xf numFmtId="166" fontId="23" fillId="27" borderId="98" xfId="42" applyNumberFormat="1" applyFont="1" applyFill="1" applyBorder="1" applyProtection="1"/>
    <xf numFmtId="166" fontId="23" fillId="27" borderId="72" xfId="42" applyNumberFormat="1" applyFont="1" applyFill="1" applyBorder="1" applyProtection="1"/>
    <xf numFmtId="166" fontId="23" fillId="27" borderId="95" xfId="42" applyNumberFormat="1" applyFont="1" applyFill="1" applyBorder="1" applyProtection="1"/>
    <xf numFmtId="4" fontId="23" fillId="27" borderId="29" xfId="28" applyFont="1" applyFill="1" applyBorder="1" applyProtection="1"/>
    <xf numFmtId="164" fontId="23" fillId="27" borderId="108" xfId="29" applyNumberFormat="1" applyFont="1" applyFill="1" applyBorder="1" applyProtection="1"/>
    <xf numFmtId="166" fontId="23" fillId="27" borderId="109" xfId="42" applyNumberFormat="1" applyFont="1" applyFill="1" applyBorder="1" applyProtection="1"/>
    <xf numFmtId="4" fontId="23" fillId="27" borderId="35" xfId="28" applyNumberFormat="1" applyFont="1" applyFill="1" applyBorder="1" applyProtection="1"/>
    <xf numFmtId="2" fontId="23" fillId="27" borderId="29" xfId="0" applyFont="1" applyFill="1" applyBorder="1"/>
    <xf numFmtId="3" fontId="23" fillId="27" borderId="34" xfId="28" applyNumberFormat="1" applyFont="1" applyFill="1" applyBorder="1" applyProtection="1"/>
    <xf numFmtId="2" fontId="23" fillId="27" borderId="25" xfId="0" applyFont="1" applyFill="1" applyBorder="1"/>
    <xf numFmtId="3" fontId="23" fillId="27" borderId="43" xfId="28" applyNumberFormat="1" applyFont="1" applyFill="1" applyBorder="1" applyProtection="1"/>
    <xf numFmtId="3" fontId="23" fillId="27" borderId="45" xfId="28" applyNumberFormat="1" applyFont="1" applyFill="1" applyBorder="1" applyProtection="1"/>
    <xf numFmtId="2" fontId="23" fillId="27" borderId="31" xfId="0" applyFont="1" applyFill="1" applyBorder="1"/>
    <xf numFmtId="3" fontId="23" fillId="27" borderId="44" xfId="28" applyNumberFormat="1" applyFont="1" applyFill="1" applyBorder="1" applyProtection="1"/>
    <xf numFmtId="2" fontId="23" fillId="27" borderId="32" xfId="0" applyFont="1" applyFill="1" applyBorder="1"/>
    <xf numFmtId="3" fontId="23" fillId="27" borderId="117" xfId="28" applyNumberFormat="1" applyFont="1" applyFill="1" applyBorder="1" applyProtection="1"/>
    <xf numFmtId="5" fontId="23" fillId="27" borderId="38" xfId="28" applyNumberFormat="1" applyFont="1" applyFill="1" applyBorder="1" applyProtection="1"/>
    <xf numFmtId="2" fontId="23" fillId="27" borderId="30" xfId="0" applyFont="1" applyFill="1" applyBorder="1"/>
    <xf numFmtId="5" fontId="23" fillId="27" borderId="112" xfId="28" applyNumberFormat="1" applyFont="1" applyFill="1" applyBorder="1" applyProtection="1"/>
    <xf numFmtId="2" fontId="23" fillId="27" borderId="113" xfId="0" applyFont="1" applyFill="1" applyBorder="1"/>
    <xf numFmtId="5" fontId="23" fillId="27" borderId="34" xfId="28" applyNumberFormat="1" applyFont="1" applyFill="1" applyBorder="1" applyProtection="1"/>
    <xf numFmtId="3" fontId="23" fillId="27" borderId="117" xfId="28" applyNumberFormat="1" applyFont="1" applyFill="1" applyBorder="1"/>
    <xf numFmtId="5" fontId="23" fillId="27" borderId="40" xfId="28" applyNumberFormat="1" applyFont="1" applyFill="1" applyBorder="1"/>
    <xf numFmtId="2" fontId="23" fillId="27" borderId="33" xfId="0" applyFont="1" applyFill="1" applyBorder="1"/>
    <xf numFmtId="5" fontId="23" fillId="26" borderId="35" xfId="29" applyNumberFormat="1" applyFont="1" applyFill="1" applyBorder="1" applyAlignment="1" applyProtection="1">
      <alignment horizontal="right"/>
    </xf>
    <xf numFmtId="5" fontId="23" fillId="0" borderId="80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5" fontId="23" fillId="0" borderId="85" xfId="29" applyNumberFormat="1" applyFont="1" applyFill="1" applyBorder="1" applyProtection="1"/>
    <xf numFmtId="166" fontId="20" fillId="0" borderId="0" xfId="46" applyNumberFormat="1" applyFont="1" applyFill="1" applyBorder="1" applyAlignment="1">
      <alignment horizontal="centerContinuous"/>
    </xf>
    <xf numFmtId="166" fontId="20" fillId="0" borderId="0" xfId="0" applyNumberFormat="1" applyFont="1" applyFill="1" applyBorder="1"/>
    <xf numFmtId="166" fontId="20" fillId="0" borderId="0" xfId="42" applyNumberFormat="1" applyFont="1" applyFill="1" applyBorder="1"/>
    <xf numFmtId="166" fontId="20" fillId="0" borderId="28" xfId="42" applyNumberFormat="1" applyFont="1" applyFill="1" applyBorder="1" applyProtection="1"/>
    <xf numFmtId="166" fontId="20" fillId="0" borderId="69" xfId="42" applyNumberFormat="1" applyFont="1" applyFill="1" applyBorder="1" applyProtection="1"/>
    <xf numFmtId="166" fontId="20" fillId="0" borderId="71" xfId="42" applyNumberFormat="1" applyFont="1" applyFill="1" applyBorder="1"/>
    <xf numFmtId="166" fontId="20" fillId="0" borderId="72" xfId="42" applyNumberFormat="1" applyFont="1" applyFill="1" applyBorder="1"/>
    <xf numFmtId="166" fontId="20" fillId="0" borderId="28" xfId="28" applyNumberFormat="1" applyFont="1" applyFill="1" applyBorder="1" applyAlignment="1" applyProtection="1">
      <alignment horizontal="left"/>
    </xf>
    <xf numFmtId="166" fontId="20" fillId="0" borderId="27" xfId="42" applyNumberFormat="1" applyFont="1" applyFill="1" applyBorder="1" applyProtection="1"/>
    <xf numFmtId="166" fontId="20" fillId="0" borderId="72" xfId="42" applyNumberFormat="1" applyFont="1" applyFill="1" applyBorder="1" applyProtection="1"/>
    <xf numFmtId="166" fontId="20" fillId="0" borderId="28" xfId="28" applyNumberFormat="1" applyFont="1" applyFill="1" applyBorder="1" applyProtection="1"/>
    <xf numFmtId="4" fontId="20" fillId="0" borderId="28" xfId="28" applyFont="1" applyFill="1" applyBorder="1" applyProtection="1"/>
    <xf numFmtId="2" fontId="20" fillId="0" borderId="28" xfId="0" applyFont="1" applyFill="1" applyBorder="1"/>
    <xf numFmtId="2" fontId="20" fillId="0" borderId="27" xfId="0" applyFont="1" applyFill="1" applyBorder="1"/>
    <xf numFmtId="2" fontId="20" fillId="0" borderId="71" xfId="0" applyFont="1" applyFill="1" applyBorder="1"/>
    <xf numFmtId="2" fontId="20" fillId="0" borderId="72" xfId="0" applyFont="1" applyFill="1" applyBorder="1"/>
    <xf numFmtId="5" fontId="20" fillId="0" borderId="27" xfId="42" applyNumberFormat="1" applyFont="1" applyFill="1" applyBorder="1" applyProtection="1"/>
    <xf numFmtId="5" fontId="20" fillId="0" borderId="73" xfId="42" applyNumberFormat="1" applyFont="1" applyFill="1" applyBorder="1" applyProtection="1"/>
    <xf numFmtId="5" fontId="20" fillId="0" borderId="127" xfId="42" applyNumberFormat="1" applyFont="1" applyFill="1" applyBorder="1" applyProtection="1"/>
    <xf numFmtId="5" fontId="20" fillId="0" borderId="0" xfId="0" applyNumberFormat="1" applyFont="1" applyFill="1" applyBorder="1"/>
    <xf numFmtId="5" fontId="20" fillId="0" borderId="71" xfId="42" applyNumberFormat="1" applyFont="1" applyFill="1" applyBorder="1" applyAlignment="1" applyProtection="1">
      <alignment horizontal="right"/>
    </xf>
    <xf numFmtId="5" fontId="20" fillId="0" borderId="0" xfId="42" applyNumberFormat="1" applyFont="1" applyFill="1" applyBorder="1"/>
    <xf numFmtId="5" fontId="20" fillId="0" borderId="71" xfId="42" applyNumberFormat="1" applyFont="1" applyFill="1" applyBorder="1" applyProtection="1"/>
    <xf numFmtId="5" fontId="20" fillId="0" borderId="0" xfId="42" applyNumberFormat="1" applyFont="1" applyFill="1" applyBorder="1" applyProtection="1"/>
    <xf numFmtId="5" fontId="20" fillId="0" borderId="71" xfId="42" applyNumberFormat="1" applyFont="1" applyFill="1" applyBorder="1"/>
    <xf numFmtId="5" fontId="20" fillId="0" borderId="72" xfId="42" applyNumberFormat="1" applyFont="1" applyFill="1" applyBorder="1"/>
    <xf numFmtId="5" fontId="20" fillId="0" borderId="28" xfId="28" applyNumberFormat="1" applyFont="1" applyFill="1" applyBorder="1" applyAlignment="1" applyProtection="1">
      <alignment horizontal="left"/>
    </xf>
    <xf numFmtId="5" fontId="20" fillId="0" borderId="72" xfId="42" applyNumberFormat="1" applyFont="1" applyFill="1" applyBorder="1" applyProtection="1"/>
    <xf numFmtId="5" fontId="20" fillId="0" borderId="28" xfId="28" applyNumberFormat="1" applyFont="1" applyFill="1" applyBorder="1" applyProtection="1"/>
    <xf numFmtId="5" fontId="20" fillId="0" borderId="28" xfId="42" applyNumberFormat="1" applyFont="1" applyFill="1" applyBorder="1" applyProtection="1"/>
    <xf numFmtId="5" fontId="20" fillId="0" borderId="69" xfId="42" applyNumberFormat="1" applyFont="1" applyFill="1" applyBorder="1" applyProtection="1"/>
    <xf numFmtId="5" fontId="20" fillId="0" borderId="28" xfId="0" applyNumberFormat="1" applyFont="1" applyFill="1" applyBorder="1"/>
    <xf numFmtId="5" fontId="20" fillId="0" borderId="71" xfId="0" applyNumberFormat="1" applyFont="1" applyFill="1" applyBorder="1"/>
    <xf numFmtId="5" fontId="20" fillId="0" borderId="114" xfId="0" applyNumberFormat="1" applyFont="1" applyFill="1" applyBorder="1"/>
    <xf numFmtId="5" fontId="20" fillId="0" borderId="67" xfId="0" applyNumberFormat="1" applyFont="1" applyBorder="1"/>
    <xf numFmtId="5" fontId="20" fillId="0" borderId="0" xfId="0" applyNumberFormat="1" applyFont="1" applyBorder="1"/>
    <xf numFmtId="5" fontId="20" fillId="0" borderId="115" xfId="0" applyNumberFormat="1" applyFont="1" applyBorder="1"/>
    <xf numFmtId="5" fontId="20" fillId="0" borderId="68" xfId="0" applyNumberFormat="1" applyFont="1" applyBorder="1"/>
    <xf numFmtId="5" fontId="20" fillId="0" borderId="126" xfId="0" applyNumberFormat="1" applyFont="1" applyBorder="1"/>
    <xf numFmtId="5" fontId="20" fillId="0" borderId="0" xfId="0" applyNumberFormat="1" applyFont="1" applyFill="1"/>
    <xf numFmtId="5" fontId="0" fillId="0" borderId="0" xfId="0" applyNumberFormat="1" applyFill="1"/>
    <xf numFmtId="5" fontId="23" fillId="0" borderId="40" xfId="28" applyNumberFormat="1" applyFont="1" applyFill="1" applyBorder="1"/>
    <xf numFmtId="5" fontId="20" fillId="0" borderId="120" xfId="42" applyNumberFormat="1" applyFont="1" applyFill="1" applyBorder="1" applyProtection="1"/>
    <xf numFmtId="166" fontId="23" fillId="0" borderId="118" xfId="42" applyNumberFormat="1" applyFont="1" applyFill="1" applyBorder="1" applyAlignment="1" applyProtection="1">
      <alignment horizontal="centerContinuous"/>
    </xf>
    <xf numFmtId="2" fontId="20" fillId="0" borderId="73" xfId="0" applyFont="1" applyBorder="1"/>
    <xf numFmtId="2" fontId="20" fillId="0" borderId="120" xfId="0" applyFont="1" applyBorder="1"/>
    <xf numFmtId="2" fontId="20" fillId="0" borderId="74" xfId="0" applyFont="1" applyBorder="1"/>
    <xf numFmtId="2" fontId="20" fillId="0" borderId="108" xfId="0" applyFont="1" applyBorder="1"/>
    <xf numFmtId="164" fontId="23" fillId="26" borderId="46" xfId="29" applyNumberFormat="1" applyFont="1" applyFill="1" applyBorder="1" applyProtection="1"/>
    <xf numFmtId="4" fontId="23" fillId="26" borderId="43" xfId="28" applyFont="1" applyFill="1" applyBorder="1" applyProtection="1"/>
    <xf numFmtId="166" fontId="23" fillId="26" borderId="120" xfId="42" applyNumberFormat="1" applyFont="1" applyFill="1" applyBorder="1" applyProtection="1"/>
    <xf numFmtId="166" fontId="23" fillId="26" borderId="107" xfId="42" applyNumberFormat="1" applyFont="1" applyFill="1" applyBorder="1" applyProtection="1"/>
    <xf numFmtId="166" fontId="23" fillId="26" borderId="125" xfId="42" applyNumberFormat="1" applyFont="1" applyFill="1" applyBorder="1" applyProtection="1"/>
    <xf numFmtId="166" fontId="23" fillId="26" borderId="74" xfId="42" applyNumberFormat="1" applyFont="1" applyFill="1" applyBorder="1" applyProtection="1"/>
    <xf numFmtId="166" fontId="23" fillId="26" borderId="119" xfId="42" applyNumberFormat="1" applyFont="1" applyFill="1" applyBorder="1"/>
    <xf numFmtId="164" fontId="23" fillId="26" borderId="45" xfId="29" applyNumberFormat="1" applyFont="1" applyFill="1" applyBorder="1" applyProtection="1"/>
    <xf numFmtId="164" fontId="23" fillId="26" borderId="44" xfId="29" applyNumberFormat="1" applyFont="1" applyFill="1" applyBorder="1" applyProtection="1"/>
    <xf numFmtId="4" fontId="23" fillId="26" borderId="43" xfId="28" applyNumberFormat="1" applyFont="1" applyFill="1" applyBorder="1" applyProtection="1"/>
    <xf numFmtId="3" fontId="23" fillId="26" borderId="41" xfId="28" applyNumberFormat="1" applyFont="1" applyFill="1" applyBorder="1" applyProtection="1"/>
    <xf numFmtId="5" fontId="23" fillId="26" borderId="18" xfId="28" applyNumberFormat="1" applyFont="1" applyFill="1" applyBorder="1" applyProtection="1"/>
    <xf numFmtId="5" fontId="23" fillId="26" borderId="41" xfId="28" applyNumberFormat="1" applyFont="1" applyFill="1" applyBorder="1" applyProtection="1"/>
    <xf numFmtId="5" fontId="23" fillId="26" borderId="46" xfId="28" applyNumberFormat="1" applyFont="1" applyFill="1" applyBorder="1"/>
    <xf numFmtId="37" fontId="23" fillId="26" borderId="43" xfId="29" applyNumberFormat="1" applyFont="1" applyFill="1" applyBorder="1" applyProtection="1"/>
    <xf numFmtId="166" fontId="23" fillId="0" borderId="11" xfId="42" applyNumberFormat="1" applyFont="1" applyFill="1" applyBorder="1" applyAlignment="1">
      <alignment horizontal="centerContinuous"/>
    </xf>
    <xf numFmtId="2" fontId="25" fillId="0" borderId="76" xfId="0" applyFont="1" applyFill="1" applyBorder="1" applyAlignment="1">
      <alignment horizontal="centerContinuous"/>
    </xf>
    <xf numFmtId="2" fontId="23" fillId="0" borderId="76" xfId="0" applyFont="1" applyFill="1" applyBorder="1"/>
    <xf numFmtId="166" fontId="20" fillId="0" borderId="128" xfId="42" applyNumberFormat="1" applyFont="1" applyFill="1" applyBorder="1" applyAlignment="1">
      <alignment horizontal="centerContinuous"/>
    </xf>
    <xf numFmtId="166" fontId="26" fillId="0" borderId="128" xfId="0" applyNumberFormat="1" applyFont="1" applyFill="1" applyBorder="1" applyAlignment="1">
      <alignment horizontal="centerContinuous"/>
    </xf>
    <xf numFmtId="166" fontId="20" fillId="0" borderId="129" xfId="42" applyNumberFormat="1" applyFont="1" applyFill="1" applyBorder="1" applyAlignment="1" applyProtection="1">
      <alignment horizontal="center"/>
    </xf>
    <xf numFmtId="166" fontId="20" fillId="0" borderId="128" xfId="0" applyNumberFormat="1" applyFont="1" applyFill="1" applyBorder="1"/>
    <xf numFmtId="37" fontId="20" fillId="0" borderId="130" xfId="42" applyNumberFormat="1" applyFont="1" applyFill="1" applyBorder="1" applyAlignment="1" applyProtection="1">
      <alignment horizontal="right"/>
    </xf>
    <xf numFmtId="37" fontId="20" fillId="0" borderId="131" xfId="42" applyNumberFormat="1" applyFont="1" applyFill="1" applyBorder="1" applyAlignment="1" applyProtection="1">
      <alignment horizontal="right"/>
    </xf>
    <xf numFmtId="37" fontId="20" fillId="0" borderId="132" xfId="42" applyNumberFormat="1" applyFont="1" applyFill="1" applyBorder="1" applyAlignment="1" applyProtection="1">
      <alignment horizontal="right"/>
    </xf>
    <xf numFmtId="37" fontId="20" fillId="0" borderId="133" xfId="42" applyNumberFormat="1" applyFont="1" applyFill="1" applyBorder="1" applyAlignment="1" applyProtection="1">
      <alignment horizontal="right"/>
    </xf>
    <xf numFmtId="3" fontId="20" fillId="0" borderId="128" xfId="42" applyNumberFormat="1" applyFont="1" applyFill="1" applyBorder="1" applyAlignment="1" applyProtection="1">
      <alignment horizontal="right"/>
    </xf>
    <xf numFmtId="37" fontId="20" fillId="0" borderId="130" xfId="29" applyNumberFormat="1" applyFont="1" applyFill="1" applyBorder="1" applyProtection="1"/>
    <xf numFmtId="37" fontId="20" fillId="0" borderId="131" xfId="29" applyNumberFormat="1" applyFont="1" applyFill="1" applyBorder="1" applyProtection="1"/>
    <xf numFmtId="37" fontId="20" fillId="0" borderId="132" xfId="29" applyNumberFormat="1" applyFont="1" applyFill="1" applyBorder="1" applyProtection="1"/>
    <xf numFmtId="37" fontId="23" fillId="0" borderId="128" xfId="29" applyNumberFormat="1" applyFont="1" applyFill="1" applyBorder="1"/>
    <xf numFmtId="37" fontId="20" fillId="0" borderId="134" xfId="42" applyNumberFormat="1" applyFont="1" applyFill="1" applyBorder="1" applyAlignment="1" applyProtection="1">
      <alignment horizontal="right"/>
    </xf>
    <xf numFmtId="37" fontId="20" fillId="0" borderId="75" xfId="29" applyNumberFormat="1" applyFont="1" applyFill="1" applyBorder="1"/>
    <xf numFmtId="166" fontId="23" fillId="0" borderId="135" xfId="42" applyNumberFormat="1" applyFont="1" applyFill="1" applyBorder="1" applyAlignment="1">
      <alignment horizontal="centerContinuous"/>
    </xf>
    <xf numFmtId="166" fontId="23" fillId="0" borderId="135" xfId="0" applyNumberFormat="1" applyFont="1" applyFill="1" applyBorder="1" applyAlignment="1">
      <alignment horizontal="centerContinuous"/>
    </xf>
    <xf numFmtId="166" fontId="23" fillId="0" borderId="136" xfId="42" applyNumberFormat="1" applyFont="1" applyFill="1" applyBorder="1" applyAlignment="1" applyProtection="1">
      <alignment horizontal="center"/>
    </xf>
    <xf numFmtId="166" fontId="23" fillId="0" borderId="135" xfId="0" applyNumberFormat="1" applyFont="1" applyFill="1" applyBorder="1"/>
    <xf numFmtId="166" fontId="20" fillId="0" borderId="137" xfId="42" applyNumberFormat="1" applyFont="1" applyFill="1" applyBorder="1" applyAlignment="1" applyProtection="1">
      <alignment horizontal="right"/>
    </xf>
    <xf numFmtId="166" fontId="20" fillId="0" borderId="138" xfId="42" applyNumberFormat="1" applyFont="1" applyFill="1" applyBorder="1" applyAlignment="1" applyProtection="1">
      <alignment horizontal="right"/>
    </xf>
    <xf numFmtId="166" fontId="23" fillId="0" borderId="135" xfId="42" applyNumberFormat="1" applyFont="1" applyFill="1" applyBorder="1"/>
    <xf numFmtId="166" fontId="23" fillId="0" borderId="137" xfId="42" applyNumberFormat="1" applyFont="1" applyFill="1" applyBorder="1" applyProtection="1"/>
    <xf numFmtId="166" fontId="23" fillId="0" borderId="139" xfId="42" applyNumberFormat="1" applyFont="1" applyFill="1" applyBorder="1" applyProtection="1"/>
    <xf numFmtId="166" fontId="23" fillId="0" borderId="138" xfId="42" applyNumberFormat="1" applyFont="1" applyFill="1" applyBorder="1" applyProtection="1"/>
    <xf numFmtId="166" fontId="23" fillId="0" borderId="135" xfId="42" applyNumberFormat="1" applyFont="1" applyFill="1" applyBorder="1" applyProtection="1"/>
    <xf numFmtId="166" fontId="23" fillId="0" borderId="137" xfId="42" applyNumberFormat="1" applyFont="1" applyFill="1" applyBorder="1"/>
    <xf numFmtId="166" fontId="23" fillId="0" borderId="138" xfId="42" applyNumberFormat="1" applyFont="1" applyFill="1" applyBorder="1"/>
    <xf numFmtId="166" fontId="23" fillId="0" borderId="140" xfId="42" applyNumberFormat="1" applyFont="1" applyFill="1" applyBorder="1" applyProtection="1"/>
    <xf numFmtId="166" fontId="23" fillId="0" borderId="141" xfId="42" applyNumberFormat="1" applyFont="1" applyFill="1" applyBorder="1"/>
    <xf numFmtId="166" fontId="20" fillId="0" borderId="11" xfId="46" applyNumberFormat="1" applyFont="1" applyFill="1" applyBorder="1" applyAlignment="1">
      <alignment horizontal="centerContinuous"/>
    </xf>
    <xf numFmtId="166" fontId="23" fillId="0" borderId="102" xfId="42" applyNumberFormat="1" applyFont="1" applyFill="1" applyBorder="1" applyAlignment="1">
      <alignment horizontal="centerContinuous"/>
    </xf>
    <xf numFmtId="2" fontId="25" fillId="27" borderId="76" xfId="0" applyFont="1" applyFill="1" applyBorder="1" applyAlignment="1">
      <alignment horizontal="centerContinuous"/>
    </xf>
    <xf numFmtId="164" fontId="23" fillId="27" borderId="78" xfId="29" applyNumberFormat="1" applyFont="1" applyFill="1" applyBorder="1" applyAlignment="1" applyProtection="1">
      <alignment horizontal="center"/>
    </xf>
    <xf numFmtId="166" fontId="23" fillId="27" borderId="102" xfId="0" applyNumberFormat="1" applyFont="1" applyFill="1" applyBorder="1"/>
    <xf numFmtId="164" fontId="23" fillId="27" borderId="80" xfId="29" applyNumberFormat="1" applyFont="1" applyFill="1" applyBorder="1" applyAlignment="1" applyProtection="1">
      <alignment horizontal="right"/>
    </xf>
    <xf numFmtId="164" fontId="23" fillId="27" borderId="82" xfId="29" applyNumberFormat="1" applyFont="1" applyFill="1" applyBorder="1" applyAlignment="1" applyProtection="1">
      <alignment horizontal="right"/>
    </xf>
    <xf numFmtId="164" fontId="23" fillId="27" borderId="83" xfId="29" applyNumberFormat="1" applyFont="1" applyFill="1" applyBorder="1" applyAlignment="1" applyProtection="1">
      <alignment horizontal="right"/>
    </xf>
    <xf numFmtId="5" fontId="23" fillId="27" borderId="85" xfId="29" applyNumberFormat="1" applyFont="1" applyFill="1" applyBorder="1" applyAlignment="1" applyProtection="1">
      <alignment horizontal="right"/>
    </xf>
    <xf numFmtId="5" fontId="23" fillId="27" borderId="76" xfId="29" applyNumberFormat="1" applyFont="1" applyFill="1" applyBorder="1" applyAlignment="1" applyProtection="1">
      <alignment horizontal="right"/>
    </xf>
    <xf numFmtId="164" fontId="23" fillId="27" borderId="76" xfId="29" applyNumberFormat="1" applyFont="1" applyFill="1" applyBorder="1" applyProtection="1"/>
    <xf numFmtId="164" fontId="23" fillId="27" borderId="80" xfId="29" applyNumberFormat="1" applyFont="1" applyFill="1" applyBorder="1" applyProtection="1"/>
    <xf numFmtId="5" fontId="23" fillId="27" borderId="80" xfId="29" applyNumberFormat="1" applyFont="1" applyFill="1" applyBorder="1" applyProtection="1"/>
    <xf numFmtId="164" fontId="23" fillId="27" borderId="82" xfId="29" applyNumberFormat="1" applyFont="1" applyFill="1" applyBorder="1" applyProtection="1"/>
    <xf numFmtId="164" fontId="23" fillId="27" borderId="83" xfId="29" applyNumberFormat="1" applyFont="1" applyFill="1" applyBorder="1" applyProtection="1"/>
    <xf numFmtId="164" fontId="23" fillId="27" borderId="76" xfId="29" applyNumberFormat="1" applyFont="1" applyFill="1" applyBorder="1"/>
    <xf numFmtId="5" fontId="23" fillId="27" borderId="83" xfId="29" applyNumberFormat="1" applyFont="1" applyFill="1" applyBorder="1" applyProtection="1"/>
    <xf numFmtId="164" fontId="23" fillId="27" borderId="80" xfId="29" applyNumberFormat="1" applyFont="1" applyFill="1" applyBorder="1"/>
    <xf numFmtId="164" fontId="23" fillId="27" borderId="83" xfId="29" applyNumberFormat="1" applyFont="1" applyFill="1" applyBorder="1"/>
    <xf numFmtId="164" fontId="23" fillId="27" borderId="88" xfId="29" applyNumberFormat="1" applyFont="1" applyFill="1" applyBorder="1" applyProtection="1"/>
    <xf numFmtId="5" fontId="23" fillId="27" borderId="89" xfId="29" applyNumberFormat="1" applyFont="1" applyFill="1" applyBorder="1"/>
  </cellXfs>
  <cellStyles count="121">
    <cellStyle name="20% - Accent1" xfId="1" builtinId="30" customBuiltin="1"/>
    <cellStyle name="20% - Accent1 2" xfId="57"/>
    <cellStyle name="20% - Accent2" xfId="2" builtinId="34" customBuiltin="1"/>
    <cellStyle name="20% - Accent2 2" xfId="58"/>
    <cellStyle name="20% - Accent3" xfId="3" builtinId="38" customBuiltin="1"/>
    <cellStyle name="20% - Accent3 2" xfId="59"/>
    <cellStyle name="20% - Accent4" xfId="4" builtinId="42" customBuiltin="1"/>
    <cellStyle name="20% - Accent4 2" xfId="60"/>
    <cellStyle name="20% - Accent5" xfId="5" builtinId="46" customBuiltin="1"/>
    <cellStyle name="20% - Accent5 2" xfId="61"/>
    <cellStyle name="20% - Accent6" xfId="6" builtinId="50" customBuiltin="1"/>
    <cellStyle name="20% - Accent6 2" xfId="62"/>
    <cellStyle name="40% - Accent1" xfId="7" builtinId="31" customBuiltin="1"/>
    <cellStyle name="40% - Accent1 2" xfId="63"/>
    <cellStyle name="40% - Accent2" xfId="8" builtinId="35" customBuiltin="1"/>
    <cellStyle name="40% - Accent2 2" xfId="64"/>
    <cellStyle name="40% - Accent3" xfId="9" builtinId="39" customBuiltin="1"/>
    <cellStyle name="40% - Accent3 2" xfId="65"/>
    <cellStyle name="40% - Accent4" xfId="10" builtinId="43" customBuiltin="1"/>
    <cellStyle name="40% - Accent4 2" xfId="66"/>
    <cellStyle name="40% - Accent5" xfId="11" builtinId="47" customBuiltin="1"/>
    <cellStyle name="40% - Accent5 2" xfId="67"/>
    <cellStyle name="40% - Accent6" xfId="12" builtinId="51" customBuiltin="1"/>
    <cellStyle name="40% - Accent6 2" xfId="68"/>
    <cellStyle name="60% - Accent1" xfId="13" builtinId="32" customBuiltin="1"/>
    <cellStyle name="60% - Accent1 2" xfId="69"/>
    <cellStyle name="60% - Accent2" xfId="14" builtinId="36" customBuiltin="1"/>
    <cellStyle name="60% - Accent2 2" xfId="70"/>
    <cellStyle name="60% - Accent3" xfId="15" builtinId="40" customBuiltin="1"/>
    <cellStyle name="60% - Accent3 2" xfId="71"/>
    <cellStyle name="60% - Accent4" xfId="16" builtinId="44" customBuiltin="1"/>
    <cellStyle name="60% - Accent4 2" xfId="72"/>
    <cellStyle name="60% - Accent5" xfId="17" builtinId="48" customBuiltin="1"/>
    <cellStyle name="60% - Accent5 2" xfId="73"/>
    <cellStyle name="60% - Accent6" xfId="18" builtinId="52" customBuiltin="1"/>
    <cellStyle name="60% - Accent6 2" xfId="74"/>
    <cellStyle name="Accent1" xfId="19" builtinId="29" customBuiltin="1"/>
    <cellStyle name="Accent1 2" xfId="75"/>
    <cellStyle name="Accent2" xfId="20" builtinId="33" customBuiltin="1"/>
    <cellStyle name="Accent2 2" xfId="76"/>
    <cellStyle name="Accent3" xfId="21" builtinId="37" customBuiltin="1"/>
    <cellStyle name="Accent3 2" xfId="77"/>
    <cellStyle name="Accent4" xfId="22" builtinId="41" customBuiltin="1"/>
    <cellStyle name="Accent4 2" xfId="78"/>
    <cellStyle name="Accent5" xfId="23" builtinId="45" customBuiltin="1"/>
    <cellStyle name="Accent5 2" xfId="79"/>
    <cellStyle name="Accent6" xfId="24" builtinId="49" customBuiltin="1"/>
    <cellStyle name="Accent6 2" xfId="80"/>
    <cellStyle name="Bad" xfId="25" builtinId="27" customBuiltin="1"/>
    <cellStyle name="Bad 2" xfId="81"/>
    <cellStyle name="Calculation" xfId="26" builtinId="22" customBuiltin="1"/>
    <cellStyle name="Calculation 2" xfId="82"/>
    <cellStyle name="Check Cell" xfId="27" builtinId="23" customBuiltin="1"/>
    <cellStyle name="Check Cell 2" xfId="83"/>
    <cellStyle name="Comma" xfId="28" builtinId="3"/>
    <cellStyle name="Comma 2" xfId="48"/>
    <cellStyle name="Comma 2 2" xfId="52"/>
    <cellStyle name="Comma 2 3" xfId="98"/>
    <cellStyle name="Comma 2 3 2" xfId="106"/>
    <cellStyle name="Comma 2 3 3" xfId="115"/>
    <cellStyle name="Currency" xfId="29" builtinId="4"/>
    <cellStyle name="Currency 2" xfId="49"/>
    <cellStyle name="Currency 2 2" xfId="53"/>
    <cellStyle name="Currency 2 3" xfId="99"/>
    <cellStyle name="Currency 2 3 2" xfId="107"/>
    <cellStyle name="Currency 2 3 3" xfId="116"/>
    <cellStyle name="Currency_Sheet1" xfId="30"/>
    <cellStyle name="Explanatory Text" xfId="31" builtinId="53" customBuiltin="1"/>
    <cellStyle name="Explanatory Text 2" xfId="84"/>
    <cellStyle name="Good" xfId="32" builtinId="26" customBuiltin="1"/>
    <cellStyle name="Good 2" xfId="85"/>
    <cellStyle name="Heading 1" xfId="33" builtinId="16" customBuiltin="1"/>
    <cellStyle name="Heading 1 2" xfId="86"/>
    <cellStyle name="Heading 2" xfId="34" builtinId="17" customBuiltin="1"/>
    <cellStyle name="Heading 2 2" xfId="87"/>
    <cellStyle name="Heading 3" xfId="35" builtinId="18" customBuiltin="1"/>
    <cellStyle name="Heading 3 2" xfId="88"/>
    <cellStyle name="Heading 4" xfId="36" builtinId="19" customBuiltin="1"/>
    <cellStyle name="Heading 4 2" xfId="89"/>
    <cellStyle name="Input" xfId="37" builtinId="20" customBuiltin="1"/>
    <cellStyle name="Input 2" xfId="90"/>
    <cellStyle name="Linked Cell" xfId="38" builtinId="24" customBuiltin="1"/>
    <cellStyle name="Linked Cell 2" xfId="91"/>
    <cellStyle name="Neutral" xfId="39" builtinId="28" customBuiltin="1"/>
    <cellStyle name="Neutral 2" xfId="92"/>
    <cellStyle name="Normal" xfId="0" builtinId="0"/>
    <cellStyle name="Normal 2" xfId="46"/>
    <cellStyle name="Normal 3" xfId="93"/>
    <cellStyle name="Normal 4" xfId="56"/>
    <cellStyle name="Normal 4 10" xfId="114"/>
    <cellStyle name="Normal 4 11" xfId="119"/>
    <cellStyle name="Normal 4 12" xfId="120"/>
    <cellStyle name="Normal 4 2" xfId="103"/>
    <cellStyle name="Normal 4 3" xfId="104"/>
    <cellStyle name="Normal 4 4" xfId="105"/>
    <cellStyle name="Normal 4 5" xfId="110"/>
    <cellStyle name="Normal 4 6" xfId="102"/>
    <cellStyle name="Normal 4 7" xfId="111"/>
    <cellStyle name="Normal 4 8" xfId="112"/>
    <cellStyle name="Normal 4 9" xfId="113"/>
    <cellStyle name="Note" xfId="40" builtinId="10" customBuiltin="1"/>
    <cellStyle name="Note 2" xfId="47"/>
    <cellStyle name="Note 3" xfId="50"/>
    <cellStyle name="Note 3 2" xfId="54"/>
    <cellStyle name="Note 3 3" xfId="100"/>
    <cellStyle name="Note 3 3 2" xfId="108"/>
    <cellStyle name="Note 3 3 3" xfId="117"/>
    <cellStyle name="Output" xfId="41" builtinId="21" customBuiltin="1"/>
    <cellStyle name="Output 2" xfId="94"/>
    <cellStyle name="Percent" xfId="42" builtinId="5"/>
    <cellStyle name="Percent 2" xfId="51"/>
    <cellStyle name="Percent 2 2" xfId="55"/>
    <cellStyle name="Percent 2 3" xfId="101"/>
    <cellStyle name="Percent 2 3 2" xfId="109"/>
    <cellStyle name="Percent 2 3 3" xfId="118"/>
    <cellStyle name="Title" xfId="43" builtinId="15" customBuiltin="1"/>
    <cellStyle name="Title 2" xfId="95"/>
    <cellStyle name="Total" xfId="44" builtinId="25" customBuiltin="1"/>
    <cellStyle name="Total 2" xfId="96"/>
    <cellStyle name="Warning Text" xfId="45" builtinId="11" customBuiltin="1"/>
    <cellStyle name="Warning Text 2" xfId="97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Y320"/>
  <sheetViews>
    <sheetView tabSelected="1" zoomScaleNormal="100" workbookViewId="0">
      <pane xSplit="3" ySplit="3" topLeftCell="Z4" activePane="bottomRight" state="frozen"/>
      <selection pane="topRight" activeCell="D1" sqref="D1"/>
      <selection pane="bottomLeft" activeCell="A4" sqref="A4"/>
      <selection pane="bottomRight" activeCell="Z4" sqref="Z4"/>
    </sheetView>
  </sheetViews>
  <sheetFormatPr defaultRowHeight="18" customHeight="1" x14ac:dyDescent="0.2"/>
  <cols>
    <col min="1" max="1" width="4.25" style="9" customWidth="1"/>
    <col min="2" max="2" width="7.875" style="75" hidden="1" customWidth="1"/>
    <col min="3" max="3" width="27.25" style="11" customWidth="1"/>
    <col min="4" max="4" width="12.625" style="10" hidden="1" customWidth="1"/>
    <col min="5" max="5" width="7.875" style="7" hidden="1" customWidth="1"/>
    <col min="6" max="6" width="13" style="10" hidden="1" customWidth="1"/>
    <col min="7" max="7" width="7.5" style="7" hidden="1" customWidth="1"/>
    <col min="8" max="8" width="13.125" style="14" hidden="1" customWidth="1"/>
    <col min="9" max="9" width="7.375" style="14" hidden="1" customWidth="1"/>
    <col min="10" max="10" width="12.875" style="14" hidden="1" customWidth="1"/>
    <col min="11" max="11" width="7.625" style="1" hidden="1" customWidth="1"/>
    <col min="12" max="12" width="12.625" style="14" hidden="1" customWidth="1"/>
    <col min="13" max="13" width="7.625" style="1" hidden="1" customWidth="1"/>
    <col min="14" max="14" width="12.625" style="1" hidden="1" customWidth="1"/>
    <col min="15" max="15" width="7.875" style="1" hidden="1" customWidth="1"/>
    <col min="16" max="16" width="12.625" style="1" hidden="1" customWidth="1"/>
    <col min="17" max="17" width="7.875" style="1" hidden="1" customWidth="1"/>
    <col min="18" max="18" width="12.625" style="1" hidden="1" customWidth="1"/>
    <col min="19" max="19" width="7.875" style="1" hidden="1" customWidth="1"/>
    <col min="20" max="20" width="12.625" style="412" hidden="1" customWidth="1"/>
    <col min="21" max="21" width="7.625" style="413" hidden="1" customWidth="1"/>
    <col min="22" max="22" width="12.625" style="412" hidden="1" customWidth="1"/>
    <col min="23" max="23" width="7.625" style="413" hidden="1" customWidth="1"/>
    <col min="24" max="24" width="12.625" style="412" hidden="1" customWidth="1"/>
    <col min="25" max="25" width="7.625" style="413" hidden="1" customWidth="1"/>
    <col min="26" max="26" width="12.625" style="413" customWidth="1"/>
    <col min="27" max="27" width="8.125" style="413" customWidth="1"/>
    <col min="28" max="28" width="12.75" style="413" bestFit="1" customWidth="1"/>
    <col min="29" max="29" width="7.625" style="413" customWidth="1"/>
    <col min="30" max="30" width="12.625" style="412" customWidth="1"/>
    <col min="31" max="31" width="7.625" style="413" customWidth="1"/>
    <col min="32" max="32" width="12.625" style="413" hidden="1" customWidth="1"/>
    <col min="33" max="33" width="8.125" style="413" hidden="1" customWidth="1"/>
    <col min="34" max="34" width="10.75" style="412" hidden="1" customWidth="1"/>
    <col min="35" max="35" width="9" style="412" hidden="1" customWidth="1"/>
    <col min="36" max="36" width="12.625" style="413" customWidth="1"/>
    <col min="37" max="37" width="8.125" style="413" customWidth="1"/>
    <col min="38" max="38" width="12.625" style="413" hidden="1" customWidth="1"/>
    <col min="39" max="39" width="8.125" style="413" hidden="1" customWidth="1"/>
    <col min="40" max="40" width="12.625" style="413" hidden="1" customWidth="1"/>
    <col min="41" max="41" width="8.125" style="1" hidden="1" customWidth="1"/>
    <col min="42" max="42" width="10.75" style="412" hidden="1" customWidth="1"/>
    <col min="43" max="43" width="9" style="412" hidden="1" customWidth="1"/>
    <col min="44" max="44" width="12.625" style="412" hidden="1" customWidth="1"/>
    <col min="45" max="45" width="7.625" style="413" hidden="1" customWidth="1"/>
    <col min="46" max="46" width="12.625" style="412" customWidth="1"/>
    <col min="47" max="47" width="7.625" style="413" customWidth="1"/>
    <col min="48" max="48" width="11.375" style="412" hidden="1" customWidth="1"/>
    <col min="49" max="49" width="9.75" style="412" hidden="1" customWidth="1"/>
    <col min="50" max="50" width="9" style="1" hidden="1" customWidth="1"/>
    <col min="51" max="16384" width="9" style="1"/>
  </cols>
  <sheetData>
    <row r="1" spans="1:51" ht="15.75" x14ac:dyDescent="0.25">
      <c r="A1" s="16"/>
      <c r="B1" s="93"/>
      <c r="C1" s="76" t="s">
        <v>172</v>
      </c>
      <c r="D1" s="19" t="s">
        <v>29</v>
      </c>
      <c r="E1" s="20"/>
      <c r="F1" s="149" t="s">
        <v>30</v>
      </c>
      <c r="G1" s="150"/>
      <c r="H1" s="117" t="s">
        <v>31</v>
      </c>
      <c r="I1" s="20"/>
      <c r="J1" s="149" t="s">
        <v>32</v>
      </c>
      <c r="K1" s="150"/>
      <c r="L1" s="295" t="s">
        <v>252</v>
      </c>
      <c r="M1" s="296"/>
      <c r="N1" s="486" t="s">
        <v>353</v>
      </c>
      <c r="O1" s="487"/>
      <c r="P1" s="701" t="s">
        <v>354</v>
      </c>
      <c r="Q1" s="341"/>
      <c r="R1" s="486" t="s">
        <v>323</v>
      </c>
      <c r="S1" s="487"/>
      <c r="T1" s="340" t="s">
        <v>345</v>
      </c>
      <c r="U1" s="341"/>
      <c r="V1" s="340" t="s">
        <v>349</v>
      </c>
      <c r="W1" s="881"/>
      <c r="X1" s="701" t="s">
        <v>355</v>
      </c>
      <c r="Y1" s="856"/>
      <c r="Z1" s="1225"/>
      <c r="AA1" s="763"/>
      <c r="AB1" s="856"/>
      <c r="AC1" s="856"/>
      <c r="AD1" s="723" t="s">
        <v>368</v>
      </c>
      <c r="AE1" s="241"/>
      <c r="AF1" s="763"/>
      <c r="AG1" s="763"/>
      <c r="AH1" s="438"/>
      <c r="AI1" s="439"/>
      <c r="AJ1" s="763"/>
      <c r="AK1" s="763"/>
      <c r="AL1" s="569"/>
      <c r="AM1" s="569"/>
      <c r="AN1" s="569"/>
      <c r="AO1" s="73"/>
      <c r="AP1" s="438"/>
      <c r="AQ1" s="439"/>
      <c r="AR1" s="723" t="s">
        <v>357</v>
      </c>
      <c r="AS1" s="1191"/>
      <c r="AT1" s="723" t="s">
        <v>357</v>
      </c>
      <c r="AU1" s="1209"/>
      <c r="AV1" s="1194"/>
      <c r="AW1" s="440"/>
      <c r="AX1" s="1">
        <v>10</v>
      </c>
      <c r="AY1" s="2"/>
    </row>
    <row r="2" spans="1:51" customFormat="1" ht="15.75" x14ac:dyDescent="0.25">
      <c r="A2" s="17"/>
      <c r="B2" s="94" t="s">
        <v>33</v>
      </c>
      <c r="C2" s="42"/>
      <c r="D2" s="21" t="s">
        <v>19</v>
      </c>
      <c r="E2" s="22"/>
      <c r="F2" s="207" t="s">
        <v>19</v>
      </c>
      <c r="G2" s="151"/>
      <c r="H2" s="208" t="s">
        <v>19</v>
      </c>
      <c r="I2" s="22"/>
      <c r="J2" s="207" t="s">
        <v>19</v>
      </c>
      <c r="K2" s="151"/>
      <c r="L2" s="297" t="s">
        <v>19</v>
      </c>
      <c r="M2" s="298"/>
      <c r="N2" s="488" t="s">
        <v>19</v>
      </c>
      <c r="O2" s="489"/>
      <c r="P2" s="702" t="s">
        <v>19</v>
      </c>
      <c r="Q2" s="343"/>
      <c r="R2" s="488" t="s">
        <v>19</v>
      </c>
      <c r="S2" s="489"/>
      <c r="T2" s="342" t="s">
        <v>19</v>
      </c>
      <c r="U2" s="343"/>
      <c r="V2" s="342" t="s">
        <v>19</v>
      </c>
      <c r="W2" s="882"/>
      <c r="X2" s="883" t="str">
        <f>P2</f>
        <v>Actual</v>
      </c>
      <c r="Y2" s="1224"/>
      <c r="Z2" s="1226" t="s">
        <v>388</v>
      </c>
      <c r="AA2" s="1034"/>
      <c r="AB2" s="1128"/>
      <c r="AC2" s="1128"/>
      <c r="AD2" s="1002" t="s">
        <v>387</v>
      </c>
      <c r="AE2" s="722"/>
      <c r="AF2" s="768" t="s">
        <v>385</v>
      </c>
      <c r="AG2" s="769"/>
      <c r="AH2" s="441" t="s">
        <v>348</v>
      </c>
      <c r="AI2" s="442"/>
      <c r="AJ2" s="1033" t="s">
        <v>384</v>
      </c>
      <c r="AK2" s="1034"/>
      <c r="AL2" s="570" t="s">
        <v>369</v>
      </c>
      <c r="AM2" s="571"/>
      <c r="AN2" s="768" t="s">
        <v>365</v>
      </c>
      <c r="AO2" s="769"/>
      <c r="AP2" s="441" t="s">
        <v>348</v>
      </c>
      <c r="AQ2" s="442"/>
      <c r="AR2" s="1002" t="s">
        <v>387</v>
      </c>
      <c r="AS2" s="893"/>
      <c r="AT2" s="1192" t="s">
        <v>363</v>
      </c>
      <c r="AU2" s="1210"/>
      <c r="AV2" s="1195" t="s">
        <v>344</v>
      </c>
      <c r="AW2" s="443"/>
      <c r="AX2" s="262">
        <v>0.88959999999999995</v>
      </c>
    </row>
    <row r="3" spans="1:51" s="5" customFormat="1" ht="15.75" x14ac:dyDescent="0.25">
      <c r="A3" s="18"/>
      <c r="B3" s="95" t="s">
        <v>34</v>
      </c>
      <c r="C3" s="279" t="s">
        <v>274</v>
      </c>
      <c r="D3" s="23" t="s">
        <v>23</v>
      </c>
      <c r="E3" s="24" t="s">
        <v>173</v>
      </c>
      <c r="F3" s="152" t="s">
        <v>23</v>
      </c>
      <c r="G3" s="153" t="s">
        <v>173</v>
      </c>
      <c r="H3" s="118" t="s">
        <v>23</v>
      </c>
      <c r="I3" s="24" t="s">
        <v>173</v>
      </c>
      <c r="J3" s="152" t="s">
        <v>23</v>
      </c>
      <c r="K3" s="153" t="s">
        <v>173</v>
      </c>
      <c r="L3" s="299" t="s">
        <v>23</v>
      </c>
      <c r="M3" s="209" t="s">
        <v>173</v>
      </c>
      <c r="N3" s="490" t="s">
        <v>23</v>
      </c>
      <c r="O3" s="491" t="s">
        <v>173</v>
      </c>
      <c r="P3" s="647" t="s">
        <v>23</v>
      </c>
      <c r="Q3" s="345" t="s">
        <v>173</v>
      </c>
      <c r="R3" s="490" t="s">
        <v>23</v>
      </c>
      <c r="S3" s="491" t="s">
        <v>173</v>
      </c>
      <c r="T3" s="344" t="s">
        <v>23</v>
      </c>
      <c r="U3" s="345" t="s">
        <v>173</v>
      </c>
      <c r="V3" s="647" t="s">
        <v>23</v>
      </c>
      <c r="W3" s="857" t="s">
        <v>173</v>
      </c>
      <c r="X3" s="647" t="s">
        <v>23</v>
      </c>
      <c r="Y3" s="857" t="s">
        <v>173</v>
      </c>
      <c r="Z3" s="1227" t="s">
        <v>23</v>
      </c>
      <c r="AA3" s="1036" t="s">
        <v>173</v>
      </c>
      <c r="AB3" s="1171" t="s">
        <v>386</v>
      </c>
      <c r="AC3" s="1171"/>
      <c r="AD3" s="416" t="s">
        <v>23</v>
      </c>
      <c r="AE3" s="242" t="s">
        <v>173</v>
      </c>
      <c r="AF3" s="770" t="s">
        <v>23</v>
      </c>
      <c r="AG3" s="771" t="s">
        <v>173</v>
      </c>
      <c r="AH3" s="444" t="s">
        <v>23</v>
      </c>
      <c r="AI3" s="445" t="s">
        <v>173</v>
      </c>
      <c r="AJ3" s="1035" t="s">
        <v>23</v>
      </c>
      <c r="AK3" s="1036" t="s">
        <v>173</v>
      </c>
      <c r="AL3" s="572" t="s">
        <v>23</v>
      </c>
      <c r="AM3" s="573" t="s">
        <v>173</v>
      </c>
      <c r="AN3" s="770" t="s">
        <v>23</v>
      </c>
      <c r="AO3" s="771" t="s">
        <v>173</v>
      </c>
      <c r="AP3" s="444" t="s">
        <v>23</v>
      </c>
      <c r="AQ3" s="445" t="s">
        <v>173</v>
      </c>
      <c r="AR3" s="724" t="s">
        <v>23</v>
      </c>
      <c r="AS3" s="743" t="s">
        <v>173</v>
      </c>
      <c r="AT3" s="724" t="s">
        <v>23</v>
      </c>
      <c r="AU3" s="1211" t="s">
        <v>173</v>
      </c>
      <c r="AV3" s="1196" t="s">
        <v>23</v>
      </c>
      <c r="AW3" s="446" t="s">
        <v>173</v>
      </c>
      <c r="AX3" s="262">
        <v>0.83</v>
      </c>
      <c r="AY3" s="6"/>
    </row>
    <row r="4" spans="1:51" customFormat="1" ht="15" customHeight="1" x14ac:dyDescent="0.25">
      <c r="A4" s="96"/>
      <c r="B4" s="94"/>
      <c r="C4" s="42"/>
      <c r="D4" s="25"/>
      <c r="E4" s="26"/>
      <c r="F4" s="154"/>
      <c r="G4" s="155"/>
      <c r="H4" s="119"/>
      <c r="I4" s="26"/>
      <c r="J4" s="154"/>
      <c r="K4" s="155"/>
      <c r="L4" s="300"/>
      <c r="M4" s="114"/>
      <c r="N4" s="496"/>
      <c r="O4" s="497"/>
      <c r="P4" s="648"/>
      <c r="Q4" s="347"/>
      <c r="R4" s="496"/>
      <c r="S4" s="497"/>
      <c r="T4" s="346"/>
      <c r="U4" s="347"/>
      <c r="V4" s="648"/>
      <c r="W4" s="858"/>
      <c r="X4" s="648"/>
      <c r="Y4" s="858"/>
      <c r="Z4" s="1228"/>
      <c r="AA4" s="1038"/>
      <c r="AB4" s="1147"/>
      <c r="AC4" s="1129"/>
      <c r="AD4" s="690"/>
      <c r="AE4" s="243"/>
      <c r="AF4" s="772"/>
      <c r="AG4" s="1028"/>
      <c r="AH4" s="447"/>
      <c r="AI4" s="448"/>
      <c r="AJ4" s="1037"/>
      <c r="AK4" s="1038"/>
      <c r="AL4" s="574"/>
      <c r="AM4" s="492"/>
      <c r="AN4" s="772"/>
      <c r="AO4" s="773"/>
      <c r="AP4" s="447"/>
      <c r="AQ4" s="448"/>
      <c r="AR4" s="690"/>
      <c r="AS4" s="562"/>
      <c r="AT4" s="1193"/>
      <c r="AU4" s="1212"/>
      <c r="AV4" s="1197"/>
      <c r="AW4" s="449"/>
      <c r="AX4" s="339">
        <v>1</v>
      </c>
    </row>
    <row r="5" spans="1:51" ht="18" customHeight="1" x14ac:dyDescent="0.25">
      <c r="A5" s="98">
        <v>1</v>
      </c>
      <c r="B5" s="99"/>
      <c r="C5" s="78" t="s">
        <v>389</v>
      </c>
      <c r="D5" s="51">
        <v>6587247</v>
      </c>
      <c r="E5" s="52">
        <f>D5/D$8</f>
        <v>0.98675753631290364</v>
      </c>
      <c r="F5" s="156">
        <f>6191501+202642</f>
        <v>6394143</v>
      </c>
      <c r="G5" s="157">
        <f>F5/F$8</f>
        <v>0.98693292371027852</v>
      </c>
      <c r="H5" s="120">
        <v>6884586</v>
      </c>
      <c r="I5" s="52">
        <f>H5/H$8</f>
        <v>0.99183334238546739</v>
      </c>
      <c r="J5" s="156">
        <v>6995469</v>
      </c>
      <c r="K5" s="157">
        <f>J5/J$8</f>
        <v>0.97405416213496132</v>
      </c>
      <c r="L5" s="301">
        <f>6308056+297488</f>
        <v>6605544</v>
      </c>
      <c r="M5" s="210">
        <f>L5/L$8</f>
        <v>0.97049454709258343</v>
      </c>
      <c r="N5" s="498">
        <v>6784610</v>
      </c>
      <c r="O5" s="499">
        <f>N5/N$8</f>
        <v>0.98506377438608561</v>
      </c>
      <c r="P5" s="649">
        <v>7261936</v>
      </c>
      <c r="Q5" s="407">
        <f>P5/P$8</f>
        <v>0.98253116709143717</v>
      </c>
      <c r="R5" s="498">
        <f>4559404-1829597+6392545-2351533+341384-99332+5596-137121+137121</f>
        <v>7018467</v>
      </c>
      <c r="S5" s="499">
        <f>R5/R$8</f>
        <v>0.97561825588633433</v>
      </c>
      <c r="T5" s="348">
        <f>4757021-2031020+5300962-1941332+480121-152782+5420</f>
        <v>6418390</v>
      </c>
      <c r="U5" s="407">
        <f>T5/T$8</f>
        <v>0.98199965391893962</v>
      </c>
      <c r="V5" s="649">
        <f>5428253+5267065+658747-2324076-1964814-152041+5389</f>
        <v>6918523</v>
      </c>
      <c r="W5" s="744">
        <f>V5/V$8</f>
        <v>0.97526691296943502</v>
      </c>
      <c r="X5" s="649">
        <f>5002133-2072916+5339033-2010735+606100-162443+4109-40166-27145+67311</f>
        <v>6705281</v>
      </c>
      <c r="Y5" s="744">
        <f>X5/X$8</f>
        <v>0.94595220665671331</v>
      </c>
      <c r="Z5" s="1229">
        <f>2187500+2564000+750000</f>
        <v>5501500</v>
      </c>
      <c r="AA5" s="1040">
        <f>Z5/Z$8</f>
        <v>0.87848303393213578</v>
      </c>
      <c r="AB5" s="1170">
        <f t="shared" ref="AB5:AB7" si="0">Z5-AJ5</f>
        <v>-848500</v>
      </c>
      <c r="AC5" s="452">
        <f>AB5/AJ5</f>
        <v>-0.13362204724409449</v>
      </c>
      <c r="AD5" s="691">
        <f>4920288+3639886+653602-2161146-1399913-167557+2396</f>
        <v>5487556</v>
      </c>
      <c r="AE5" s="407">
        <f>AD5/AD$8</f>
        <v>0.9195367090389327</v>
      </c>
      <c r="AF5" s="774">
        <f>ROUND(AJ5*AX$2,0)</f>
        <v>5648960</v>
      </c>
      <c r="AG5" s="968">
        <f>AF5/AF$8</f>
        <v>0.91039426523297495</v>
      </c>
      <c r="AH5" s="1001">
        <f>AD5-AF5</f>
        <v>-161404</v>
      </c>
      <c r="AI5" s="451">
        <f t="shared" ref="AI5:AI11" si="1">AH5/AF5</f>
        <v>-2.8572338979210334E-2</v>
      </c>
      <c r="AJ5" s="1039">
        <v>6350000</v>
      </c>
      <c r="AK5" s="1040">
        <f>AJ5/AJ$8</f>
        <v>0.91039426523297495</v>
      </c>
      <c r="AL5" s="575">
        <v>6600000</v>
      </c>
      <c r="AM5" s="576">
        <f>AL5/AL$8</f>
        <v>0.91349480968858132</v>
      </c>
      <c r="AN5" s="774">
        <v>6600000</v>
      </c>
      <c r="AO5" s="968">
        <f>AN5/AN$8</f>
        <v>0.91349480968858132</v>
      </c>
      <c r="AP5" s="450">
        <f>$AD5-(AL5*$AX$2)</f>
        <v>-383804</v>
      </c>
      <c r="AQ5" s="451">
        <f t="shared" ref="AQ5:AQ11" si="2">AP5/AN5</f>
        <v>-5.8152121212121211E-2</v>
      </c>
      <c r="AR5" s="691">
        <v>5633149</v>
      </c>
      <c r="AS5" s="744">
        <f>AR5/AR$8</f>
        <v>0.92798649554255375</v>
      </c>
      <c r="AT5" s="691">
        <f>5190944-2193951+4563509-1743707+726640-180780+5237</f>
        <v>6367892</v>
      </c>
      <c r="AU5" s="1213">
        <f>AT5/AT$8</f>
        <v>0.92441702889824839</v>
      </c>
      <c r="AV5" s="1198">
        <f>AD5-AR5</f>
        <v>-145593</v>
      </c>
      <c r="AW5" s="452">
        <f t="shared" ref="AW5:AW11" si="3">AV5/AR5</f>
        <v>-2.5845756964710146E-2</v>
      </c>
      <c r="AX5" s="339">
        <v>0.35</v>
      </c>
      <c r="AY5" s="2"/>
    </row>
    <row r="6" spans="1:51" ht="18" customHeight="1" x14ac:dyDescent="0.25">
      <c r="A6" s="98">
        <v>2</v>
      </c>
      <c r="B6" s="99"/>
      <c r="C6" s="78" t="s">
        <v>250</v>
      </c>
      <c r="D6" s="51">
        <v>34586.04</v>
      </c>
      <c r="E6" s="52">
        <f>D6/D$8</f>
        <v>5.180925449010723E-3</v>
      </c>
      <c r="F6" s="156">
        <v>56618</v>
      </c>
      <c r="G6" s="157">
        <f>F6/F$8</f>
        <v>8.7389613079702083E-3</v>
      </c>
      <c r="H6" s="120">
        <v>46002</v>
      </c>
      <c r="I6" s="52">
        <f>H6/H$8</f>
        <v>6.6273146150569208E-3</v>
      </c>
      <c r="J6" s="156">
        <v>167381</v>
      </c>
      <c r="K6" s="157">
        <f>J6/J$8</f>
        <v>2.3306251476821919E-2</v>
      </c>
      <c r="L6" s="301">
        <v>187796</v>
      </c>
      <c r="M6" s="210">
        <f>L6/L$8</f>
        <v>2.7591216403342222E-2</v>
      </c>
      <c r="N6" s="498">
        <v>92156</v>
      </c>
      <c r="O6" s="499">
        <f>N6/N$8</f>
        <v>1.338021451377811E-2</v>
      </c>
      <c r="P6" s="649">
        <v>105486</v>
      </c>
      <c r="Q6" s="407">
        <f>P6/P$8</f>
        <v>1.4272128354175436E-2</v>
      </c>
      <c r="R6" s="498">
        <f>345574-140766-83681+33838</f>
        <v>154965</v>
      </c>
      <c r="S6" s="499">
        <f>R6/R$8</f>
        <v>2.1541268630802964E-2</v>
      </c>
      <c r="T6" s="348">
        <f>244977-108237-60425+24533</f>
        <v>100848</v>
      </c>
      <c r="U6" s="407">
        <f>T6/T$8</f>
        <v>1.5429523774407167E-2</v>
      </c>
      <c r="V6" s="649">
        <f>220589-98743-36012+14439</f>
        <v>100273</v>
      </c>
      <c r="W6" s="744">
        <f>V6/V$8</f>
        <v>1.4134944577648172E-2</v>
      </c>
      <c r="X6" s="649">
        <f>322250-147731-66278+30218</f>
        <v>138459</v>
      </c>
      <c r="Y6" s="744">
        <f>X6/X$8</f>
        <v>1.9533200261328626E-2</v>
      </c>
      <c r="Z6" s="1229">
        <v>50000</v>
      </c>
      <c r="AA6" s="1040">
        <f>Z6/Z$8</f>
        <v>7.9840319361277438E-3</v>
      </c>
      <c r="AB6" s="1144">
        <f t="shared" si="0"/>
        <v>-25000</v>
      </c>
      <c r="AC6" s="452">
        <f t="shared" ref="AC6:AC54" si="4">AB6/AJ6</f>
        <v>-0.33333333333333331</v>
      </c>
      <c r="AD6" s="691">
        <f>145598-67575-23312+10337</f>
        <v>65048</v>
      </c>
      <c r="AE6" s="407">
        <f>AD6/AD$8</f>
        <v>1.0899938670250379E-2</v>
      </c>
      <c r="AF6" s="774">
        <f>ROUND(AJ6*AX$2,0)</f>
        <v>66720</v>
      </c>
      <c r="AG6" s="968">
        <f>AF6/AF$8</f>
        <v>1.0752688172043012E-2</v>
      </c>
      <c r="AH6" s="1001">
        <f t="shared" ref="AH6:AH7" si="5">AD6-AF6</f>
        <v>-1672</v>
      </c>
      <c r="AI6" s="451">
        <f t="shared" si="1"/>
        <v>-2.5059952038369304E-2</v>
      </c>
      <c r="AJ6" s="1039">
        <v>75000</v>
      </c>
      <c r="AK6" s="1040">
        <f>AJ6/AJ$8</f>
        <v>1.0752688172043012E-2</v>
      </c>
      <c r="AL6" s="575">
        <v>75000</v>
      </c>
      <c r="AM6" s="576">
        <f>AL6/AL$8</f>
        <v>1.0380622837370242E-2</v>
      </c>
      <c r="AN6" s="774">
        <v>75000</v>
      </c>
      <c r="AO6" s="968">
        <f>AN6/AN$8</f>
        <v>1.0380622837370242E-2</v>
      </c>
      <c r="AP6" s="450">
        <f>$AD6-(AL6*$AX$2)</f>
        <v>-1672</v>
      </c>
      <c r="AQ6" s="451">
        <f t="shared" si="2"/>
        <v>-2.2293333333333332E-2</v>
      </c>
      <c r="AR6" s="691">
        <v>94180</v>
      </c>
      <c r="AS6" s="744">
        <f>AR6/AR$8</f>
        <v>1.5514904390101827E-2</v>
      </c>
      <c r="AT6" s="691">
        <f>241170-113415-53026+22407</f>
        <v>97136</v>
      </c>
      <c r="AU6" s="1213">
        <f>AT6/AT$8</f>
        <v>1.4101082826005883E-2</v>
      </c>
      <c r="AV6" s="1198">
        <f t="shared" ref="AV6:AV10" si="6">AD6-AR6</f>
        <v>-29132</v>
      </c>
      <c r="AW6" s="452">
        <f t="shared" si="3"/>
        <v>-0.30932257379486089</v>
      </c>
      <c r="AX6" s="999">
        <v>0</v>
      </c>
      <c r="AY6" s="2"/>
    </row>
    <row r="7" spans="1:51" ht="18" customHeight="1" x14ac:dyDescent="0.25">
      <c r="A7" s="280">
        <v>3</v>
      </c>
      <c r="B7" s="286"/>
      <c r="C7" s="79" t="s">
        <v>276</v>
      </c>
      <c r="D7" s="53">
        <v>53816</v>
      </c>
      <c r="E7" s="52">
        <f>D7/D$8</f>
        <v>8.0615382380856866E-3</v>
      </c>
      <c r="F7" s="158">
        <v>28041</v>
      </c>
      <c r="G7" s="157">
        <f>F7/F$8</f>
        <v>4.3281149817512559E-3</v>
      </c>
      <c r="H7" s="121">
        <v>10685</v>
      </c>
      <c r="I7" s="52">
        <f>H7/H$8</f>
        <v>1.5393429994757445E-3</v>
      </c>
      <c r="J7" s="158">
        <v>18957</v>
      </c>
      <c r="K7" s="157">
        <f>J7/J$8</f>
        <v>2.6395863882167818E-3</v>
      </c>
      <c r="L7" s="302">
        <v>13029</v>
      </c>
      <c r="M7" s="210">
        <f>L7/L$8</f>
        <v>1.9142365040743456E-3</v>
      </c>
      <c r="N7" s="500">
        <v>10717</v>
      </c>
      <c r="O7" s="499">
        <f>N7/N$8</f>
        <v>1.5560111001362907E-3</v>
      </c>
      <c r="P7" s="650">
        <v>23627</v>
      </c>
      <c r="Q7" s="407">
        <f>P7/P$8</f>
        <v>3.1967045543873406E-3</v>
      </c>
      <c r="R7" s="500">
        <f>19740+694</f>
        <v>20434</v>
      </c>
      <c r="S7" s="499">
        <f>R7/R$8</f>
        <v>2.8404754828627614E-3</v>
      </c>
      <c r="T7" s="349">
        <f>16165+638</f>
        <v>16803</v>
      </c>
      <c r="U7" s="407">
        <f>T7/T$8</f>
        <v>2.5708223066532171E-3</v>
      </c>
      <c r="V7" s="650">
        <v>75183</v>
      </c>
      <c r="W7" s="744">
        <f>V7/V$8</f>
        <v>1.0598142452916763E-2</v>
      </c>
      <c r="X7" s="650">
        <v>244653</v>
      </c>
      <c r="Y7" s="744">
        <f>X7/X$8</f>
        <v>3.4514593081958068E-2</v>
      </c>
      <c r="Z7" s="1230">
        <f>511000+200000</f>
        <v>711000</v>
      </c>
      <c r="AA7" s="1040">
        <f>Z7/Z$8</f>
        <v>0.11353293413173653</v>
      </c>
      <c r="AB7" s="1144">
        <f t="shared" si="0"/>
        <v>161000</v>
      </c>
      <c r="AC7" s="452">
        <f t="shared" si="4"/>
        <v>0.29272727272727272</v>
      </c>
      <c r="AD7" s="692">
        <v>415136</v>
      </c>
      <c r="AE7" s="407">
        <f>AD7/AD$8</f>
        <v>6.9563352290816963E-2</v>
      </c>
      <c r="AF7" s="774">
        <f>ROUND(AJ7*AX$2,0)</f>
        <v>489280</v>
      </c>
      <c r="AG7" s="968">
        <f>AF7/AF$8</f>
        <v>7.8853046594982074E-2</v>
      </c>
      <c r="AH7" s="1001">
        <f t="shared" si="5"/>
        <v>-74144</v>
      </c>
      <c r="AI7" s="451">
        <f t="shared" si="1"/>
        <v>-0.15153695225637673</v>
      </c>
      <c r="AJ7" s="1041">
        <v>550000</v>
      </c>
      <c r="AK7" s="1040">
        <f>AJ7/AJ$8</f>
        <v>7.8853046594982074E-2</v>
      </c>
      <c r="AL7" s="577">
        <v>550000</v>
      </c>
      <c r="AM7" s="576">
        <f>AL7/AL$8</f>
        <v>7.6124567474048443E-2</v>
      </c>
      <c r="AN7" s="775">
        <v>550000</v>
      </c>
      <c r="AO7" s="968">
        <f>AN7/AN$8</f>
        <v>7.6124567474048443E-2</v>
      </c>
      <c r="AP7" s="450">
        <f>$AD7-(AL7*$AX$2)</f>
        <v>-74143.999999999942</v>
      </c>
      <c r="AQ7" s="451">
        <f t="shared" si="2"/>
        <v>-0.13480727272727261</v>
      </c>
      <c r="AR7" s="692">
        <v>342963</v>
      </c>
      <c r="AS7" s="744">
        <f>AR7/AR$8</f>
        <v>5.6498600067344369E-2</v>
      </c>
      <c r="AT7" s="692">
        <v>423521</v>
      </c>
      <c r="AU7" s="1213">
        <f>AT7/AT$8</f>
        <v>6.1481888275745737E-2</v>
      </c>
      <c r="AV7" s="1199">
        <f t="shared" si="6"/>
        <v>72173</v>
      </c>
      <c r="AW7" s="482">
        <f t="shared" si="3"/>
        <v>0.21043961010371381</v>
      </c>
      <c r="AX7" s="999">
        <v>0.67</v>
      </c>
      <c r="AY7" s="2"/>
    </row>
    <row r="8" spans="1:51" ht="18" customHeight="1" x14ac:dyDescent="0.25">
      <c r="A8" s="291">
        <v>4</v>
      </c>
      <c r="B8" s="292"/>
      <c r="C8" s="80" t="s">
        <v>343</v>
      </c>
      <c r="D8" s="27">
        <f>SUM(D5:D7)</f>
        <v>6675649.04</v>
      </c>
      <c r="E8" s="28">
        <f>1-E9</f>
        <v>1.2114573416819407</v>
      </c>
      <c r="F8" s="159">
        <f>SUM(F5:F7)</f>
        <v>6478802</v>
      </c>
      <c r="G8" s="160">
        <f>1-G9</f>
        <v>1.2109453260031715</v>
      </c>
      <c r="H8" s="122">
        <f>SUM(H5:H7)</f>
        <v>6941273</v>
      </c>
      <c r="I8" s="28">
        <f>1-I9</f>
        <v>1.2141209544704552</v>
      </c>
      <c r="J8" s="159">
        <f>SUM(J5:J7)</f>
        <v>7181807</v>
      </c>
      <c r="K8" s="160">
        <f>1-K9</f>
        <v>1.2219129531049777</v>
      </c>
      <c r="L8" s="303">
        <f>SUM(L5:L7)</f>
        <v>6806369</v>
      </c>
      <c r="M8" s="211">
        <f>1-M9</f>
        <v>1.2461025842119344</v>
      </c>
      <c r="N8" s="501">
        <f>SUM(N5:N7)</f>
        <v>6887483</v>
      </c>
      <c r="O8" s="502">
        <f>1-O9</f>
        <v>1.2112516284976675</v>
      </c>
      <c r="P8" s="651">
        <f>SUM(P5:P7)</f>
        <v>7391049</v>
      </c>
      <c r="Q8" s="408">
        <f>1-Q9</f>
        <v>1.2142134357382828</v>
      </c>
      <c r="R8" s="501">
        <f>SUM(R5:R7)</f>
        <v>7193866</v>
      </c>
      <c r="S8" s="502">
        <f>1-S9</f>
        <v>1.2620864775629683</v>
      </c>
      <c r="T8" s="350">
        <f>SUM(T5:T7)</f>
        <v>6536041</v>
      </c>
      <c r="U8" s="408">
        <f>1-U9</f>
        <v>1.2562445676212863</v>
      </c>
      <c r="V8" s="651">
        <f>SUM(V5:V7)</f>
        <v>7093979</v>
      </c>
      <c r="W8" s="745">
        <f>1-W9</f>
        <v>1.2369967545717291</v>
      </c>
      <c r="X8" s="651">
        <f>SUM(X5:X7)</f>
        <v>7088393</v>
      </c>
      <c r="Y8" s="745">
        <f>1-Y9</f>
        <v>1.2370538710254919</v>
      </c>
      <c r="Z8" s="1231">
        <f>SUM(Z5:Z7)</f>
        <v>6262500</v>
      </c>
      <c r="AA8" s="1043">
        <f>1-AA9</f>
        <v>1.2135728542914173</v>
      </c>
      <c r="AB8" s="1148">
        <f>SUM(AB5:AB7)</f>
        <v>-712500</v>
      </c>
      <c r="AC8" s="452">
        <f t="shared" si="4"/>
        <v>-0.10215053763440861</v>
      </c>
      <c r="AD8" s="693">
        <f>SUM(AD5:AD7)</f>
        <v>5967740</v>
      </c>
      <c r="AE8" s="408">
        <f>1-AE9</f>
        <v>1.2354759088029974</v>
      </c>
      <c r="AF8" s="776">
        <f>SUM(AF5:AF7)</f>
        <v>6204960</v>
      </c>
      <c r="AG8" s="969">
        <f>1-AG9</f>
        <v>1.2312545125190171</v>
      </c>
      <c r="AH8" s="453">
        <f>SUM(AH5:AH7)</f>
        <v>-237220</v>
      </c>
      <c r="AI8" s="454">
        <f t="shared" si="1"/>
        <v>-3.8230705757974263E-2</v>
      </c>
      <c r="AJ8" s="1042">
        <f>SUM(AJ5:AJ7)</f>
        <v>6975000</v>
      </c>
      <c r="AK8" s="1043">
        <f>1-AK9</f>
        <v>1.2312544802867382</v>
      </c>
      <c r="AL8" s="578">
        <f>SUM(AL5:AL7)</f>
        <v>7225000</v>
      </c>
      <c r="AM8" s="579">
        <f>1-AM9</f>
        <v>1.2214532871972319</v>
      </c>
      <c r="AN8" s="776">
        <f>SUM(AN5:AN7)</f>
        <v>7225000</v>
      </c>
      <c r="AO8" s="969">
        <f>1-AO9</f>
        <v>1.2214532871972319</v>
      </c>
      <c r="AP8" s="453">
        <f>SUM(AP5:AP7)</f>
        <v>-459619.99999999994</v>
      </c>
      <c r="AQ8" s="454">
        <f t="shared" si="2"/>
        <v>-6.3615224913494806E-2</v>
      </c>
      <c r="AR8" s="693">
        <f>SUM(AR5:AR7)</f>
        <v>6070292</v>
      </c>
      <c r="AS8" s="745">
        <f>1-AS9</f>
        <v>1.2132370238532182</v>
      </c>
      <c r="AT8" s="693">
        <f>SUM(AT5:AT7)</f>
        <v>6888549</v>
      </c>
      <c r="AU8" s="1214">
        <f>1-AU9</f>
        <v>1.2204417795387679</v>
      </c>
      <c r="AV8" s="1200">
        <f>SUM(AV5:AV7)</f>
        <v>-102552</v>
      </c>
      <c r="AW8" s="455">
        <f t="shared" si="3"/>
        <v>-1.6894080218875798E-2</v>
      </c>
      <c r="AX8" s="999">
        <v>0.23400000000000001</v>
      </c>
      <c r="AY8" s="2"/>
    </row>
    <row r="9" spans="1:51" ht="18" customHeight="1" x14ac:dyDescent="0.25">
      <c r="A9" s="97">
        <v>5</v>
      </c>
      <c r="B9" s="287"/>
      <c r="C9" s="77" t="s">
        <v>347</v>
      </c>
      <c r="D9" s="288">
        <v>-1411615</v>
      </c>
      <c r="E9" s="52">
        <f>D9/D$8</f>
        <v>-0.21145734168194077</v>
      </c>
      <c r="F9" s="289">
        <v>-1366673</v>
      </c>
      <c r="G9" s="157">
        <f>F9/F$8</f>
        <v>-0.21094532600317156</v>
      </c>
      <c r="H9" s="290">
        <v>-1486272</v>
      </c>
      <c r="I9" s="52">
        <f>H9/H$8</f>
        <v>-0.2141209544704552</v>
      </c>
      <c r="J9" s="289">
        <v>-1593736</v>
      </c>
      <c r="K9" s="157">
        <f>J9/J$8</f>
        <v>-0.22191295310497761</v>
      </c>
      <c r="L9" s="304">
        <v>-1675065</v>
      </c>
      <c r="M9" s="210">
        <f>L9/L$8</f>
        <v>-0.24610258421193443</v>
      </c>
      <c r="N9" s="503">
        <v>-1454992</v>
      </c>
      <c r="O9" s="499">
        <f>N9/N$8</f>
        <v>-0.21125162849766743</v>
      </c>
      <c r="P9" s="652">
        <v>-1583262</v>
      </c>
      <c r="Q9" s="407">
        <f>P9/P$8</f>
        <v>-0.21421343573828289</v>
      </c>
      <c r="R9" s="503">
        <f>-(1122117-450655+1694382-562270+107318-25477)</f>
        <v>-1885415</v>
      </c>
      <c r="S9" s="499">
        <f>R9/R$8</f>
        <v>-0.26208647756296821</v>
      </c>
      <c r="T9" s="351">
        <f>-1012238+433866-1460377+470760-148583+41747</f>
        <v>-1674825</v>
      </c>
      <c r="U9" s="407">
        <f>T9/T$8</f>
        <v>-0.25624456762128633</v>
      </c>
      <c r="V9" s="652">
        <f>-1177591-1177661-235264+507877+361151+40238</f>
        <v>-1681250</v>
      </c>
      <c r="W9" s="744">
        <f>V9/V$8</f>
        <v>-0.23699675457172906</v>
      </c>
      <c r="X9" s="652">
        <f>-1126398+463866-1274721+407977-194876+43821</f>
        <v>-1680331</v>
      </c>
      <c r="Y9" s="744">
        <f>X9/X$8</f>
        <v>-0.23705387102549197</v>
      </c>
      <c r="Z9" s="1232">
        <f>-437500-650000-250000</f>
        <v>-1337500</v>
      </c>
      <c r="AA9" s="1040">
        <f>Z9/Z$8</f>
        <v>-0.21357285429141717</v>
      </c>
      <c r="AB9" s="1144">
        <f t="shared" ref="AB9:AB10" si="7">Z9-AJ9</f>
        <v>275500</v>
      </c>
      <c r="AC9" s="452">
        <f t="shared" si="4"/>
        <v>-0.1707997520148791</v>
      </c>
      <c r="AD9" s="417">
        <f>-1214625-797200-206137+507127+251715+53861</f>
        <v>-1405259</v>
      </c>
      <c r="AE9" s="407">
        <f>AD9/AD$8</f>
        <v>-0.23547590880299746</v>
      </c>
      <c r="AF9" s="1122">
        <f>ROUND(AJ9*AX$2,0)</f>
        <v>-1434925</v>
      </c>
      <c r="AG9" s="968">
        <f>AF9/AF$8</f>
        <v>-0.23125451251901705</v>
      </c>
      <c r="AH9" s="1001">
        <f t="shared" ref="AH9:AH10" si="8">AD9-AF9</f>
        <v>29666</v>
      </c>
      <c r="AI9" s="456">
        <f t="shared" si="1"/>
        <v>-2.0674251267487849E-2</v>
      </c>
      <c r="AJ9" s="1044">
        <v>-1613000</v>
      </c>
      <c r="AK9" s="1040">
        <f>AJ9/AJ$8</f>
        <v>-0.23125448028673834</v>
      </c>
      <c r="AL9" s="580">
        <v>-1600000</v>
      </c>
      <c r="AM9" s="576">
        <f>AL9/AL$8</f>
        <v>-0.22145328719723184</v>
      </c>
      <c r="AN9" s="777">
        <v>-1600000</v>
      </c>
      <c r="AO9" s="968">
        <f>AN9/AN$8</f>
        <v>-0.22145328719723184</v>
      </c>
      <c r="AP9" s="450">
        <f>$AD9-(AL9*$AX$2)</f>
        <v>18101</v>
      </c>
      <c r="AQ9" s="456">
        <f t="shared" si="2"/>
        <v>-1.1313125E-2</v>
      </c>
      <c r="AR9" s="725">
        <v>-1294411</v>
      </c>
      <c r="AS9" s="744">
        <f>AR9/AR$8</f>
        <v>-0.21323702385321827</v>
      </c>
      <c r="AT9" s="725">
        <f>-971390+381770-1066024+325381-235570+47309</f>
        <v>-1518524</v>
      </c>
      <c r="AU9" s="1213">
        <f>AT9/AT$8</f>
        <v>-0.2204417795387679</v>
      </c>
      <c r="AV9" s="1201">
        <f t="shared" si="6"/>
        <v>-110848</v>
      </c>
      <c r="AW9" s="464">
        <f t="shared" si="3"/>
        <v>8.5635860634682495E-2</v>
      </c>
      <c r="AX9" s="999">
        <v>0.5</v>
      </c>
      <c r="AY9" s="2"/>
    </row>
    <row r="10" spans="1:51" ht="18" customHeight="1" x14ac:dyDescent="0.25">
      <c r="A10" s="282">
        <v>6</v>
      </c>
      <c r="B10" s="287"/>
      <c r="C10" s="76" t="s">
        <v>346</v>
      </c>
      <c r="D10" s="332"/>
      <c r="E10" s="333"/>
      <c r="F10" s="334"/>
      <c r="G10" s="336"/>
      <c r="H10" s="335"/>
      <c r="I10" s="333"/>
      <c r="J10" s="334"/>
      <c r="K10" s="336"/>
      <c r="L10" s="337"/>
      <c r="M10" s="338"/>
      <c r="N10" s="504">
        <v>0</v>
      </c>
      <c r="O10" s="505"/>
      <c r="P10" s="653">
        <v>0</v>
      </c>
      <c r="Q10" s="409"/>
      <c r="R10" s="504">
        <v>-19000</v>
      </c>
      <c r="S10" s="505"/>
      <c r="T10" s="352">
        <v>0</v>
      </c>
      <c r="U10" s="409"/>
      <c r="V10" s="653">
        <v>-25000</v>
      </c>
      <c r="W10" s="746"/>
      <c r="X10" s="653">
        <v>-25000</v>
      </c>
      <c r="Y10" s="746"/>
      <c r="Z10" s="1233">
        <v>0</v>
      </c>
      <c r="AA10" s="1046">
        <f>Z10/Z$8</f>
        <v>0</v>
      </c>
      <c r="AB10" s="1144">
        <f t="shared" si="7"/>
        <v>12000</v>
      </c>
      <c r="AC10" s="482">
        <f t="shared" si="4"/>
        <v>-1</v>
      </c>
      <c r="AD10" s="418">
        <v>-10000</v>
      </c>
      <c r="AE10" s="407">
        <f>AD10/AD$8</f>
        <v>-1.6756762191382332E-3</v>
      </c>
      <c r="AF10" s="1122">
        <f>ROUND(AJ10*AX$2,0)</f>
        <v>-10675</v>
      </c>
      <c r="AG10" s="970">
        <f>AF10/AF$8</f>
        <v>-1.7203978752481886E-3</v>
      </c>
      <c r="AH10" s="1001">
        <f t="shared" si="8"/>
        <v>675</v>
      </c>
      <c r="AI10" s="451">
        <f t="shared" si="1"/>
        <v>-6.323185011709602E-2</v>
      </c>
      <c r="AJ10" s="1045">
        <v>-12000</v>
      </c>
      <c r="AK10" s="1046">
        <f>AJ10/AJ$8</f>
        <v>-1.7204301075268817E-3</v>
      </c>
      <c r="AL10" s="581">
        <v>-25000</v>
      </c>
      <c r="AM10" s="582">
        <f>AL10/AL$8</f>
        <v>-3.4602076124567475E-3</v>
      </c>
      <c r="AN10" s="778">
        <v>-25000</v>
      </c>
      <c r="AO10" s="970">
        <f>AN10/AN$8</f>
        <v>-3.4602076124567475E-3</v>
      </c>
      <c r="AP10" s="1001">
        <f t="shared" ref="AP10" si="9">$AD10-(AL10/12*$AX$1)</f>
        <v>10833.333333333336</v>
      </c>
      <c r="AQ10" s="451">
        <f t="shared" si="2"/>
        <v>-0.4333333333333334</v>
      </c>
      <c r="AR10" s="726">
        <v>-10000</v>
      </c>
      <c r="AS10" s="744">
        <f>AR10/AR$8</f>
        <v>-1.6473672106712494E-3</v>
      </c>
      <c r="AT10" s="726">
        <v>0</v>
      </c>
      <c r="AU10" s="1213">
        <f>AT10/AT$8</f>
        <v>0</v>
      </c>
      <c r="AV10" s="1199">
        <f t="shared" si="6"/>
        <v>0</v>
      </c>
      <c r="AW10" s="482">
        <f t="shared" si="3"/>
        <v>0</v>
      </c>
      <c r="AX10" s="1">
        <v>0.75</v>
      </c>
      <c r="AY10" s="2"/>
    </row>
    <row r="11" spans="1:51" ht="18" customHeight="1" x14ac:dyDescent="0.25">
      <c r="A11" s="281">
        <v>7</v>
      </c>
      <c r="B11" s="99"/>
      <c r="C11" s="80" t="s">
        <v>174</v>
      </c>
      <c r="D11" s="27">
        <f t="shared" ref="D11:AE11" si="10">SUM(D8:D9)</f>
        <v>5264034.04</v>
      </c>
      <c r="E11" s="28">
        <f t="shared" si="10"/>
        <v>1</v>
      </c>
      <c r="F11" s="159">
        <f t="shared" si="10"/>
        <v>5112129</v>
      </c>
      <c r="G11" s="160">
        <f t="shared" si="10"/>
        <v>1</v>
      </c>
      <c r="H11" s="122">
        <f t="shared" si="10"/>
        <v>5455001</v>
      </c>
      <c r="I11" s="28">
        <f t="shared" si="10"/>
        <v>1</v>
      </c>
      <c r="J11" s="159">
        <f t="shared" si="10"/>
        <v>5588071</v>
      </c>
      <c r="K11" s="160">
        <f t="shared" si="10"/>
        <v>1</v>
      </c>
      <c r="L11" s="303">
        <f t="shared" si="10"/>
        <v>5131304</v>
      </c>
      <c r="M11" s="211">
        <f t="shared" si="10"/>
        <v>1</v>
      </c>
      <c r="N11" s="501">
        <f>SUM(N8:N10)</f>
        <v>5432491</v>
      </c>
      <c r="O11" s="502">
        <f>SUM(O8:O9)</f>
        <v>1</v>
      </c>
      <c r="P11" s="651">
        <f>SUM(P8:P10)</f>
        <v>5807787</v>
      </c>
      <c r="Q11" s="408">
        <f>SUM(Q8:Q9)</f>
        <v>0.99999999999999989</v>
      </c>
      <c r="R11" s="501">
        <f>SUM(R8:R10)</f>
        <v>5289451</v>
      </c>
      <c r="S11" s="502">
        <f>SUM(S8:S9)</f>
        <v>1</v>
      </c>
      <c r="T11" s="350">
        <f>SUM(T8:T10)</f>
        <v>4861216</v>
      </c>
      <c r="U11" s="408">
        <f>SUM(U8:U9)</f>
        <v>1</v>
      </c>
      <c r="V11" s="651">
        <f>SUM(V8:V10)</f>
        <v>5387729</v>
      </c>
      <c r="W11" s="745">
        <f t="shared" ref="W11" si="11">SUM(W8:W9)</f>
        <v>1</v>
      </c>
      <c r="X11" s="651">
        <f>SUM(X8:X10)</f>
        <v>5383062</v>
      </c>
      <c r="Y11" s="745">
        <f t="shared" ref="Y11" si="12">SUM(Y8:Y9)</f>
        <v>1</v>
      </c>
      <c r="Z11" s="1231">
        <f>SUM(Z8:Z10)</f>
        <v>4925000</v>
      </c>
      <c r="AA11" s="1043">
        <f t="shared" ref="AA11" si="13">SUM(AA8:AA9)</f>
        <v>1</v>
      </c>
      <c r="AB11" s="1148">
        <f>SUM(AB8:AB10)</f>
        <v>-425000</v>
      </c>
      <c r="AC11" s="454">
        <f t="shared" si="4"/>
        <v>-7.9439252336448593E-2</v>
      </c>
      <c r="AD11" s="693">
        <f>SUM(AD8:AD10)</f>
        <v>4552481</v>
      </c>
      <c r="AE11" s="408">
        <f t="shared" si="10"/>
        <v>1</v>
      </c>
      <c r="AF11" s="776">
        <f>SUM(AF8:AF10)</f>
        <v>4759360</v>
      </c>
      <c r="AG11" s="969">
        <f t="shared" ref="AG11" si="14">SUM(AG8:AG9)</f>
        <v>1</v>
      </c>
      <c r="AH11" s="453">
        <f>SUM(AH8:AH10)</f>
        <v>-206879</v>
      </c>
      <c r="AI11" s="454">
        <f t="shared" si="1"/>
        <v>-4.3467819202581859E-2</v>
      </c>
      <c r="AJ11" s="1042">
        <f>SUM(AJ8:AJ10)</f>
        <v>5350000</v>
      </c>
      <c r="AK11" s="1043">
        <f t="shared" ref="AK11" si="15">SUM(AK8:AK9)</f>
        <v>0.99999999999999989</v>
      </c>
      <c r="AL11" s="578">
        <f>SUM(AL8:AL10)</f>
        <v>5600000</v>
      </c>
      <c r="AM11" s="579">
        <f t="shared" ref="AM11:AO11" si="16">SUM(AM8:AM9)</f>
        <v>1</v>
      </c>
      <c r="AN11" s="776">
        <f>SUM(AN8:AN10)</f>
        <v>5600000</v>
      </c>
      <c r="AO11" s="969">
        <f t="shared" si="16"/>
        <v>1</v>
      </c>
      <c r="AP11" s="453">
        <f>SUM(AP8:AP10)</f>
        <v>-430685.66666666663</v>
      </c>
      <c r="AQ11" s="454">
        <f t="shared" si="2"/>
        <v>-7.6908154761904754E-2</v>
      </c>
      <c r="AR11" s="693">
        <f>SUM(AR8:AR10)</f>
        <v>4765881</v>
      </c>
      <c r="AS11" s="745">
        <f t="shared" ref="AS11:AU11" si="17">SUM(AS8:AS9)</f>
        <v>0.99999999999999989</v>
      </c>
      <c r="AT11" s="693">
        <f>SUM(AT8:AT10)</f>
        <v>5370025</v>
      </c>
      <c r="AU11" s="1214">
        <f t="shared" si="17"/>
        <v>1</v>
      </c>
      <c r="AV11" s="1200">
        <f>SUM(AV8:AV10)</f>
        <v>-213400</v>
      </c>
      <c r="AW11" s="455">
        <f t="shared" si="3"/>
        <v>-4.4776611081980437E-2</v>
      </c>
      <c r="AY11" s="2"/>
    </row>
    <row r="12" spans="1:51" ht="15" customHeight="1" x14ac:dyDescent="0.25">
      <c r="A12" s="97">
        <v>8</v>
      </c>
      <c r="B12" s="99"/>
      <c r="C12" s="76"/>
      <c r="D12" s="29"/>
      <c r="E12" s="30"/>
      <c r="F12" s="161"/>
      <c r="G12" s="162"/>
      <c r="H12" s="123"/>
      <c r="I12" s="30"/>
      <c r="J12" s="161"/>
      <c r="K12" s="162"/>
      <c r="L12" s="305"/>
      <c r="M12" s="212"/>
      <c r="N12" s="506"/>
      <c r="O12" s="507"/>
      <c r="P12" s="654"/>
      <c r="Q12" s="354"/>
      <c r="R12" s="506"/>
      <c r="S12" s="507"/>
      <c r="T12" s="353"/>
      <c r="U12" s="354"/>
      <c r="V12" s="654"/>
      <c r="W12" s="859"/>
      <c r="X12" s="654"/>
      <c r="Y12" s="859"/>
      <c r="Z12" s="1234"/>
      <c r="AA12" s="1048"/>
      <c r="AB12" s="1149"/>
      <c r="AC12" s="464"/>
      <c r="AD12" s="694"/>
      <c r="AE12" s="244"/>
      <c r="AF12" s="779"/>
      <c r="AG12" s="780"/>
      <c r="AH12" s="457"/>
      <c r="AI12" s="458"/>
      <c r="AJ12" s="1047"/>
      <c r="AK12" s="1048"/>
      <c r="AL12" s="583"/>
      <c r="AM12" s="584"/>
      <c r="AN12" s="779"/>
      <c r="AO12" s="780"/>
      <c r="AP12" s="457"/>
      <c r="AQ12" s="458"/>
      <c r="AR12" s="694"/>
      <c r="AS12" s="747"/>
      <c r="AT12" s="694"/>
      <c r="AU12" s="1215"/>
      <c r="AV12" s="1202"/>
      <c r="AW12" s="464"/>
      <c r="AY12" s="2"/>
    </row>
    <row r="13" spans="1:51" ht="18" customHeight="1" x14ac:dyDescent="0.25">
      <c r="A13" s="98">
        <v>9</v>
      </c>
      <c r="B13" s="99" t="s">
        <v>293</v>
      </c>
      <c r="C13" s="78" t="s">
        <v>175</v>
      </c>
      <c r="D13" s="56">
        <f>382792+3548</f>
        <v>386340</v>
      </c>
      <c r="E13" s="57">
        <f t="shared" ref="E13:E20" si="18">D13/D$11</f>
        <v>7.3392382546219243E-2</v>
      </c>
      <c r="F13" s="167">
        <v>333709</v>
      </c>
      <c r="G13" s="166">
        <f t="shared" ref="G13:G20" si="19">F13/F$11</f>
        <v>6.5277891070432692E-2</v>
      </c>
      <c r="H13" s="126">
        <v>323840</v>
      </c>
      <c r="I13" s="57">
        <f t="shared" ref="I13:I21" si="20">H13/H$11</f>
        <v>5.93657086405667E-2</v>
      </c>
      <c r="J13" s="167">
        <v>371607</v>
      </c>
      <c r="K13" s="166">
        <f t="shared" ref="K13:K21" si="21">J13/J$11</f>
        <v>6.6500049838307346E-2</v>
      </c>
      <c r="L13" s="306">
        <v>312726</v>
      </c>
      <c r="M13" s="214">
        <f t="shared" ref="M13:M21" si="22">L13/L$11</f>
        <v>6.094474231111624E-2</v>
      </c>
      <c r="N13" s="508">
        <v>339865</v>
      </c>
      <c r="O13" s="509">
        <f t="shared" ref="O13:O21" si="23">N13/N$11</f>
        <v>6.2561539448477685E-2</v>
      </c>
      <c r="P13" s="655">
        <v>323383</v>
      </c>
      <c r="Q13" s="356">
        <f t="shared" ref="Q13:Q21" si="24">P13/P$11</f>
        <v>5.568093320226792E-2</v>
      </c>
      <c r="R13" s="508">
        <f>230056+78663</f>
        <v>308719</v>
      </c>
      <c r="S13" s="509">
        <f t="shared" ref="S13:S21" si="25">R13/R$11</f>
        <v>5.8365036371449512E-2</v>
      </c>
      <c r="T13" s="355">
        <f>320103+43793</f>
        <v>363896</v>
      </c>
      <c r="U13" s="356">
        <f t="shared" ref="U13:U21" si="26">T13/T$11</f>
        <v>7.4856990514307525E-2</v>
      </c>
      <c r="V13" s="655">
        <f>288198+44772+8079</f>
        <v>341049</v>
      </c>
      <c r="W13" s="860">
        <f t="shared" ref="W13:W21" si="27">V13/V$11</f>
        <v>6.3301068038128863E-2</v>
      </c>
      <c r="X13" s="705">
        <f>190428+732+65049</f>
        <v>256209</v>
      </c>
      <c r="Y13" s="860">
        <f t="shared" ref="Y13:Y21" si="28">X13/X$11</f>
        <v>4.7595402022120495E-2</v>
      </c>
      <c r="Z13" s="1235">
        <f>305120-50000-40000</f>
        <v>215120</v>
      </c>
      <c r="AA13" s="1050">
        <f t="shared" ref="AA13:AA21" si="29">Z13/Z$11</f>
        <v>4.367918781725888E-2</v>
      </c>
      <c r="AB13" s="1170">
        <f t="shared" ref="AB13:AB20" si="30">Z13-AJ13</f>
        <v>15120</v>
      </c>
      <c r="AC13" s="452">
        <f t="shared" si="4"/>
        <v>7.5600000000000001E-2</v>
      </c>
      <c r="AD13" s="421">
        <f>158204+46072+738+34659+413</f>
        <v>240086</v>
      </c>
      <c r="AE13" s="245">
        <f t="shared" ref="AE13:AE21" si="31">AD13/AD$11</f>
        <v>5.2737397476233287E-2</v>
      </c>
      <c r="AF13" s="774">
        <f t="shared" ref="AF13:AF20" si="32">ROUND(AJ13*AX$2,0)</f>
        <v>177920</v>
      </c>
      <c r="AG13" s="782">
        <f t="shared" ref="AG13:AG21" si="33">AF13/AF$11</f>
        <v>3.7383177570093455E-2</v>
      </c>
      <c r="AH13" s="1001">
        <f t="shared" ref="AH13:AH20" si="34">AD13-AF13</f>
        <v>62166</v>
      </c>
      <c r="AI13" s="451">
        <f t="shared" ref="AI13:AI20" si="35">AH13/AF13</f>
        <v>0.34940422661870502</v>
      </c>
      <c r="AJ13" s="1049">
        <v>200000</v>
      </c>
      <c r="AK13" s="1050">
        <f t="shared" ref="AK13:AK21" si="36">AJ13/AJ$11</f>
        <v>3.7383177570093455E-2</v>
      </c>
      <c r="AL13" s="585">
        <v>210000</v>
      </c>
      <c r="AM13" s="586">
        <f t="shared" ref="AM13:AM21" si="37">AL13/AL$11</f>
        <v>3.7499999999999999E-2</v>
      </c>
      <c r="AN13" s="781">
        <v>210000</v>
      </c>
      <c r="AO13" s="782">
        <f t="shared" ref="AO13:AO21" si="38">AN13/AN$11</f>
        <v>3.7499999999999999E-2</v>
      </c>
      <c r="AP13" s="450">
        <f>$AD13-(AL13*$AX$2)</f>
        <v>53270</v>
      </c>
      <c r="AQ13" s="451">
        <f t="shared" ref="AQ13:AQ20" si="39">AP13/AN13</f>
        <v>0.25366666666666665</v>
      </c>
      <c r="AR13" s="855">
        <v>173418</v>
      </c>
      <c r="AS13" s="748">
        <f t="shared" ref="AS13:AS21" si="40">AR13/AR$11</f>
        <v>3.638739616033216E-2</v>
      </c>
      <c r="AT13" s="1123">
        <f>139626+2380+28542+23543+967</f>
        <v>195058</v>
      </c>
      <c r="AU13" s="1216">
        <f t="shared" ref="AU13:AU21" si="41">AT13/AT$11</f>
        <v>3.6323480803161994E-2</v>
      </c>
      <c r="AV13" s="1198">
        <f t="shared" ref="AV13:AV20" si="42">AD13-AR13</f>
        <v>66668</v>
      </c>
      <c r="AW13" s="452">
        <f t="shared" ref="AW13:AW21" si="43">AV13/AR13</f>
        <v>0.38443529506740937</v>
      </c>
      <c r="AY13" s="2"/>
    </row>
    <row r="14" spans="1:51" ht="18" customHeight="1" x14ac:dyDescent="0.25">
      <c r="A14" s="97">
        <v>10</v>
      </c>
      <c r="B14" s="99" t="s">
        <v>294</v>
      </c>
      <c r="C14" s="78" t="s">
        <v>245</v>
      </c>
      <c r="D14" s="70">
        <f>-72065</f>
        <v>-72065</v>
      </c>
      <c r="E14" s="57">
        <f t="shared" si="18"/>
        <v>-1.3690071046729022E-2</v>
      </c>
      <c r="F14" s="165">
        <v>-49177</v>
      </c>
      <c r="G14" s="166">
        <f t="shared" si="19"/>
        <v>-9.6196711780942926E-3</v>
      </c>
      <c r="H14" s="125">
        <v>-63384</v>
      </c>
      <c r="I14" s="57">
        <f t="shared" si="20"/>
        <v>-1.1619429583972579E-2</v>
      </c>
      <c r="J14" s="165">
        <v>-52476</v>
      </c>
      <c r="K14" s="166">
        <f t="shared" si="21"/>
        <v>-9.3907181923780138E-3</v>
      </c>
      <c r="L14" s="307">
        <v>-45839</v>
      </c>
      <c r="M14" s="214">
        <f t="shared" si="22"/>
        <v>-8.9332068417696548E-3</v>
      </c>
      <c r="N14" s="510">
        <v>-92446</v>
      </c>
      <c r="O14" s="509">
        <f t="shared" si="23"/>
        <v>-1.7017239421105345E-2</v>
      </c>
      <c r="P14" s="656">
        <v>-119609</v>
      </c>
      <c r="Q14" s="356">
        <f t="shared" si="24"/>
        <v>-2.0594591365007017E-2</v>
      </c>
      <c r="R14" s="510">
        <f>-77200-37362</f>
        <v>-114562</v>
      </c>
      <c r="S14" s="509">
        <f t="shared" si="25"/>
        <v>-2.1658580446250471E-2</v>
      </c>
      <c r="T14" s="357">
        <f>-170161-12770</f>
        <v>-182931</v>
      </c>
      <c r="U14" s="356">
        <f t="shared" si="26"/>
        <v>-3.7630708036836873E-2</v>
      </c>
      <c r="V14" s="656">
        <f>-182503-15634</f>
        <v>-198137</v>
      </c>
      <c r="W14" s="860">
        <f t="shared" si="27"/>
        <v>-3.6775606196970935E-2</v>
      </c>
      <c r="X14" s="705">
        <f>-120607-61450</f>
        <v>-182057</v>
      </c>
      <c r="Y14" s="860">
        <f t="shared" si="28"/>
        <v>-3.3820342399920343E-2</v>
      </c>
      <c r="Z14" s="1236">
        <f>-70000-15000</f>
        <v>-85000</v>
      </c>
      <c r="AA14" s="1050">
        <f t="shared" si="29"/>
        <v>-1.7258883248730966E-2</v>
      </c>
      <c r="AB14" s="1144">
        <f t="shared" si="30"/>
        <v>75000</v>
      </c>
      <c r="AC14" s="452">
        <f t="shared" si="4"/>
        <v>-0.46875</v>
      </c>
      <c r="AD14" s="421">
        <f>-118406-62260</f>
        <v>-180666</v>
      </c>
      <c r="AE14" s="245">
        <f t="shared" si="31"/>
        <v>-3.9685173864536724E-2</v>
      </c>
      <c r="AF14" s="1122">
        <f t="shared" si="32"/>
        <v>-142336</v>
      </c>
      <c r="AG14" s="782">
        <f t="shared" si="33"/>
        <v>-2.9906542056074768E-2</v>
      </c>
      <c r="AH14" s="1001">
        <f t="shared" si="34"/>
        <v>-38330</v>
      </c>
      <c r="AI14" s="451">
        <f t="shared" si="35"/>
        <v>0.26929237859712229</v>
      </c>
      <c r="AJ14" s="1051">
        <v>-160000</v>
      </c>
      <c r="AK14" s="1050">
        <f t="shared" si="36"/>
        <v>-2.9906542056074768E-2</v>
      </c>
      <c r="AL14" s="587">
        <v>-100000</v>
      </c>
      <c r="AM14" s="586">
        <f t="shared" si="37"/>
        <v>-1.7857142857142856E-2</v>
      </c>
      <c r="AN14" s="783">
        <v>-100000</v>
      </c>
      <c r="AO14" s="782">
        <f t="shared" si="38"/>
        <v>-1.7857142857142856E-2</v>
      </c>
      <c r="AP14" s="450">
        <f>$AD14-(AL14*$AX$5)</f>
        <v>-145666</v>
      </c>
      <c r="AQ14" s="451">
        <f t="shared" si="39"/>
        <v>1.4566600000000001</v>
      </c>
      <c r="AR14" s="855">
        <v>-93512</v>
      </c>
      <c r="AS14" s="748">
        <f t="shared" si="40"/>
        <v>-1.9621136155099132E-2</v>
      </c>
      <c r="AT14" s="1123">
        <f>-95625-12412</f>
        <v>-108037</v>
      </c>
      <c r="AU14" s="1216">
        <f t="shared" si="41"/>
        <v>-2.0118528312251804E-2</v>
      </c>
      <c r="AV14" s="1198">
        <f t="shared" si="42"/>
        <v>-87154</v>
      </c>
      <c r="AW14" s="452">
        <f t="shared" si="43"/>
        <v>0.93200872615279318</v>
      </c>
      <c r="AY14" s="2"/>
    </row>
    <row r="15" spans="1:51" ht="18" customHeight="1" x14ac:dyDescent="0.25">
      <c r="A15" s="98">
        <v>11</v>
      </c>
      <c r="B15" s="99" t="s">
        <v>295</v>
      </c>
      <c r="C15" s="78" t="s">
        <v>291</v>
      </c>
      <c r="D15" s="56">
        <f>955076+28065+6661</f>
        <v>989802</v>
      </c>
      <c r="E15" s="57">
        <f t="shared" si="18"/>
        <v>0.18803107891756718</v>
      </c>
      <c r="F15" s="167">
        <f>877527+7952+9799</f>
        <v>895278</v>
      </c>
      <c r="G15" s="166">
        <f t="shared" si="19"/>
        <v>0.175128209792828</v>
      </c>
      <c r="H15" s="126">
        <f>1027036+13182+11329</f>
        <v>1051547</v>
      </c>
      <c r="I15" s="57">
        <f t="shared" si="20"/>
        <v>0.19276751736617465</v>
      </c>
      <c r="J15" s="167">
        <f>1118456+993+11324+7077</f>
        <v>1137850</v>
      </c>
      <c r="K15" s="166">
        <f t="shared" si="21"/>
        <v>0.20362124962263364</v>
      </c>
      <c r="L15" s="306">
        <f>947418+10315+6463</f>
        <v>964196</v>
      </c>
      <c r="M15" s="214">
        <f t="shared" si="22"/>
        <v>0.18790467296422117</v>
      </c>
      <c r="N15" s="508">
        <v>1040349</v>
      </c>
      <c r="O15" s="509">
        <f t="shared" si="23"/>
        <v>0.19150496521761379</v>
      </c>
      <c r="P15" s="655">
        <v>1180428</v>
      </c>
      <c r="Q15" s="356">
        <f t="shared" si="24"/>
        <v>0.20324918940725614</v>
      </c>
      <c r="R15" s="508">
        <f>338290+17558+3760+1769+550691+7119+3555+115747+464+495+81+6655+12035+5650</f>
        <v>1063869</v>
      </c>
      <c r="S15" s="509">
        <f t="shared" si="25"/>
        <v>0.20113032524547445</v>
      </c>
      <c r="T15" s="355">
        <f>433140+22618+2985+10008+395429+7089+3556+99537+56+10858+132+71+105+5382</f>
        <v>990966</v>
      </c>
      <c r="U15" s="356">
        <f t="shared" si="26"/>
        <v>0.20385146432497547</v>
      </c>
      <c r="V15" s="655">
        <f>473997+445650+244+97658+31048+12711+4380+5226+586+32166+316+5230</f>
        <v>1109212</v>
      </c>
      <c r="W15" s="860">
        <f t="shared" si="27"/>
        <v>0.20587746711091073</v>
      </c>
      <c r="X15" s="705">
        <f>379590+31714+3865+15608+467779+26423+93687+19385+383+495+371+6001</f>
        <v>1045301</v>
      </c>
      <c r="Y15" s="860">
        <f t="shared" si="28"/>
        <v>0.19418334769319023</v>
      </c>
      <c r="Z15" s="1235">
        <f>722000+46450-15000</f>
        <v>753450</v>
      </c>
      <c r="AA15" s="1050">
        <f t="shared" si="29"/>
        <v>0.15298477157360407</v>
      </c>
      <c r="AB15" s="1144">
        <f t="shared" si="30"/>
        <v>-221550</v>
      </c>
      <c r="AC15" s="452">
        <f t="shared" si="4"/>
        <v>-0.22723076923076924</v>
      </c>
      <c r="AD15" s="421">
        <f>367767+233404+76805+10+25279+12856+2520+5172+550</f>
        <v>724363</v>
      </c>
      <c r="AE15" s="245">
        <f t="shared" si="31"/>
        <v>0.15911389855333827</v>
      </c>
      <c r="AF15" s="774">
        <f t="shared" si="32"/>
        <v>867360</v>
      </c>
      <c r="AG15" s="782">
        <f t="shared" si="33"/>
        <v>0.1822429906542056</v>
      </c>
      <c r="AH15" s="1001">
        <f t="shared" si="34"/>
        <v>-142997</v>
      </c>
      <c r="AI15" s="451">
        <f t="shared" si="35"/>
        <v>-0.16486464674414314</v>
      </c>
      <c r="AJ15" s="1049">
        <v>975000</v>
      </c>
      <c r="AK15" s="1050">
        <f t="shared" si="36"/>
        <v>0.1822429906542056</v>
      </c>
      <c r="AL15" s="585">
        <v>1058400</v>
      </c>
      <c r="AM15" s="586">
        <f t="shared" si="37"/>
        <v>0.189</v>
      </c>
      <c r="AN15" s="781">
        <v>1058400</v>
      </c>
      <c r="AO15" s="782">
        <f t="shared" si="38"/>
        <v>0.189</v>
      </c>
      <c r="AP15" s="450">
        <f>$AD15-(AL15*$AX$2)</f>
        <v>-217189.6399999999</v>
      </c>
      <c r="AQ15" s="451">
        <f t="shared" si="39"/>
        <v>-0.20520563114134532</v>
      </c>
      <c r="AR15" s="855">
        <v>879182</v>
      </c>
      <c r="AS15" s="748">
        <f t="shared" si="40"/>
        <v>0.18447418221311024</v>
      </c>
      <c r="AT15" s="1123">
        <f>411800+30162+2695+8567+350601+17407+100964+154</f>
        <v>922350</v>
      </c>
      <c r="AU15" s="1216">
        <f t="shared" si="41"/>
        <v>0.1717589769135153</v>
      </c>
      <c r="AV15" s="1198">
        <f t="shared" si="42"/>
        <v>-154819</v>
      </c>
      <c r="AW15" s="452">
        <f t="shared" si="43"/>
        <v>-0.1760943695389578</v>
      </c>
      <c r="AY15" s="2"/>
    </row>
    <row r="16" spans="1:51" ht="18" customHeight="1" x14ac:dyDescent="0.25">
      <c r="A16" s="98">
        <v>12</v>
      </c>
      <c r="B16" s="99"/>
      <c r="C16" s="936" t="s">
        <v>370</v>
      </c>
      <c r="D16" s="56"/>
      <c r="E16" s="57"/>
      <c r="F16" s="167"/>
      <c r="G16" s="166"/>
      <c r="H16" s="126"/>
      <c r="I16" s="57"/>
      <c r="J16" s="167"/>
      <c r="K16" s="166"/>
      <c r="L16" s="306"/>
      <c r="M16" s="214"/>
      <c r="N16" s="508"/>
      <c r="O16" s="509"/>
      <c r="P16" s="655">
        <v>13421</v>
      </c>
      <c r="Q16" s="356"/>
      <c r="R16" s="508">
        <v>13443</v>
      </c>
      <c r="S16" s="509"/>
      <c r="T16" s="355">
        <v>11475</v>
      </c>
      <c r="U16" s="356"/>
      <c r="V16" s="655">
        <v>18094</v>
      </c>
      <c r="W16" s="860"/>
      <c r="X16" s="705">
        <v>42329</v>
      </c>
      <c r="Y16" s="860"/>
      <c r="Z16" s="1235">
        <v>65000</v>
      </c>
      <c r="AA16" s="1050">
        <f t="shared" si="29"/>
        <v>1.3197969543147208E-2</v>
      </c>
      <c r="AB16" s="1144">
        <f t="shared" si="30"/>
        <v>4000</v>
      </c>
      <c r="AC16" s="452">
        <f t="shared" si="4"/>
        <v>6.5573770491803282E-2</v>
      </c>
      <c r="AD16" s="1005">
        <v>62883</v>
      </c>
      <c r="AE16" s="947">
        <f t="shared" si="31"/>
        <v>1.3812907730971311E-2</v>
      </c>
      <c r="AF16" s="774">
        <v>58000</v>
      </c>
      <c r="AG16" s="782">
        <f t="shared" si="33"/>
        <v>1.2186512472265178E-2</v>
      </c>
      <c r="AH16" s="1001">
        <f t="shared" si="34"/>
        <v>4883</v>
      </c>
      <c r="AI16" s="451">
        <f t="shared" si="35"/>
        <v>8.4189655172413794E-2</v>
      </c>
      <c r="AJ16" s="1049">
        <v>61000</v>
      </c>
      <c r="AK16" s="1050">
        <f t="shared" si="36"/>
        <v>1.1401869158878504E-2</v>
      </c>
      <c r="AL16" s="585">
        <v>60180</v>
      </c>
      <c r="AM16" s="937">
        <f t="shared" si="37"/>
        <v>1.0746428571428572E-2</v>
      </c>
      <c r="AN16" s="781">
        <v>60180</v>
      </c>
      <c r="AO16" s="782">
        <f t="shared" si="38"/>
        <v>1.0746428571428572E-2</v>
      </c>
      <c r="AP16" s="1001">
        <f t="shared" ref="AP16:AP18" si="44">$AD16-(AL16/12*$AX$1)</f>
        <v>12733</v>
      </c>
      <c r="AQ16" s="451">
        <f t="shared" si="39"/>
        <v>0.21158192090395481</v>
      </c>
      <c r="AR16" s="855">
        <v>46879</v>
      </c>
      <c r="AS16" s="748">
        <f t="shared" si="40"/>
        <v>9.8363765272359918E-3</v>
      </c>
      <c r="AT16" s="1123">
        <v>57030</v>
      </c>
      <c r="AU16" s="1216">
        <f t="shared" si="41"/>
        <v>1.0620062290212801E-2</v>
      </c>
      <c r="AV16" s="1198">
        <f t="shared" si="42"/>
        <v>16004</v>
      </c>
      <c r="AW16" s="452">
        <f t="shared" si="43"/>
        <v>0.34138953475970052</v>
      </c>
      <c r="AY16" s="2"/>
    </row>
    <row r="17" spans="1:51" s="942" customFormat="1" ht="18" customHeight="1" x14ac:dyDescent="0.25">
      <c r="A17" s="945">
        <v>13</v>
      </c>
      <c r="B17" s="946"/>
      <c r="C17" s="953" t="s">
        <v>373</v>
      </c>
      <c r="D17" s="56"/>
      <c r="E17" s="57"/>
      <c r="F17" s="167"/>
      <c r="G17" s="166"/>
      <c r="H17" s="126"/>
      <c r="I17" s="57"/>
      <c r="J17" s="167"/>
      <c r="K17" s="166"/>
      <c r="L17" s="306"/>
      <c r="M17" s="214"/>
      <c r="N17" s="508"/>
      <c r="O17" s="509"/>
      <c r="P17" s="655">
        <v>15755</v>
      </c>
      <c r="Q17" s="356"/>
      <c r="R17" s="508">
        <v>15780</v>
      </c>
      <c r="S17" s="509"/>
      <c r="T17" s="355">
        <v>13470</v>
      </c>
      <c r="U17" s="356"/>
      <c r="V17" s="655">
        <v>20827</v>
      </c>
      <c r="W17" s="860"/>
      <c r="X17" s="705">
        <v>22172</v>
      </c>
      <c r="Y17" s="860"/>
      <c r="Z17" s="1235">
        <v>40000</v>
      </c>
      <c r="AA17" s="1050">
        <f t="shared" si="29"/>
        <v>8.1218274111675131E-3</v>
      </c>
      <c r="AB17" s="1144">
        <f t="shared" si="30"/>
        <v>5000</v>
      </c>
      <c r="AC17" s="452">
        <f t="shared" si="4"/>
        <v>0.14285714285714285</v>
      </c>
      <c r="AD17" s="948">
        <v>33221</v>
      </c>
      <c r="AE17" s="947">
        <f t="shared" si="31"/>
        <v>7.2973396264586279E-3</v>
      </c>
      <c r="AF17" s="774">
        <f t="shared" si="32"/>
        <v>31136</v>
      </c>
      <c r="AG17" s="782">
        <f t="shared" si="33"/>
        <v>6.5420560747663555E-3</v>
      </c>
      <c r="AH17" s="1001">
        <f t="shared" si="34"/>
        <v>2085</v>
      </c>
      <c r="AI17" s="451">
        <f t="shared" si="35"/>
        <v>6.6964285714285712E-2</v>
      </c>
      <c r="AJ17" s="1049">
        <v>35000</v>
      </c>
      <c r="AK17" s="1050">
        <f t="shared" si="36"/>
        <v>6.5420560747663555E-3</v>
      </c>
      <c r="AL17" s="950">
        <v>35000</v>
      </c>
      <c r="AM17" s="949">
        <f t="shared" si="37"/>
        <v>6.2500000000000003E-3</v>
      </c>
      <c r="AN17" s="781">
        <v>35000</v>
      </c>
      <c r="AO17" s="782">
        <f t="shared" si="38"/>
        <v>6.2500000000000003E-3</v>
      </c>
      <c r="AP17" s="1001">
        <f t="shared" si="44"/>
        <v>4054.3333333333358</v>
      </c>
      <c r="AQ17" s="451">
        <f t="shared" si="39"/>
        <v>0.11583809523809531</v>
      </c>
      <c r="AR17" s="948">
        <f>72680-46879</f>
        <v>25801</v>
      </c>
      <c r="AS17" s="748">
        <f t="shared" si="40"/>
        <v>5.4136895151179814E-3</v>
      </c>
      <c r="AT17" s="1123">
        <v>31388</v>
      </c>
      <c r="AU17" s="1216">
        <f t="shared" si="41"/>
        <v>5.8450379653726004E-3</v>
      </c>
      <c r="AV17" s="1198">
        <f t="shared" si="42"/>
        <v>7420</v>
      </c>
      <c r="AW17" s="452">
        <f t="shared" si="43"/>
        <v>0.28758575249021356</v>
      </c>
      <c r="AY17" s="943"/>
    </row>
    <row r="18" spans="1:51" ht="18" customHeight="1" x14ac:dyDescent="0.25">
      <c r="A18" s="98">
        <v>14</v>
      </c>
      <c r="B18" s="99" t="s">
        <v>296</v>
      </c>
      <c r="C18" s="78" t="s">
        <v>342</v>
      </c>
      <c r="D18" s="56">
        <f>294324.35+103082.91</f>
        <v>397407.26</v>
      </c>
      <c r="E18" s="57">
        <f t="shared" si="18"/>
        <v>7.5494811959840591E-2</v>
      </c>
      <c r="F18" s="167">
        <f>319456+105108</f>
        <v>424564</v>
      </c>
      <c r="G18" s="166">
        <f t="shared" si="19"/>
        <v>8.3050329911471321E-2</v>
      </c>
      <c r="H18" s="126">
        <f>338934+41064</f>
        <v>379998</v>
      </c>
      <c r="I18" s="57">
        <f t="shared" si="20"/>
        <v>6.9660482188729209E-2</v>
      </c>
      <c r="J18" s="167">
        <f>329630+115693</f>
        <v>445323</v>
      </c>
      <c r="K18" s="166">
        <f t="shared" si="21"/>
        <v>7.9691721883991817E-2</v>
      </c>
      <c r="L18" s="306">
        <f>339841+83906</f>
        <v>423747</v>
      </c>
      <c r="M18" s="214">
        <f t="shared" si="22"/>
        <v>8.2580763096476065E-2</v>
      </c>
      <c r="N18" s="508">
        <v>423064</v>
      </c>
      <c r="O18" s="509">
        <f t="shared" si="23"/>
        <v>7.7876613141190668E-2</v>
      </c>
      <c r="P18" s="655">
        <v>384380</v>
      </c>
      <c r="Q18" s="356">
        <f t="shared" si="24"/>
        <v>6.6183556662804607E-2</v>
      </c>
      <c r="R18" s="508">
        <f>389744+9925</f>
        <v>399669</v>
      </c>
      <c r="S18" s="509">
        <f t="shared" si="25"/>
        <v>7.5559637474664196E-2</v>
      </c>
      <c r="T18" s="355">
        <f>368100+827</f>
        <v>368927</v>
      </c>
      <c r="U18" s="356">
        <f t="shared" si="26"/>
        <v>7.5891916754984759E-2</v>
      </c>
      <c r="V18" s="655">
        <f>22+38+15848+392000</f>
        <v>407908</v>
      </c>
      <c r="W18" s="860">
        <f t="shared" si="27"/>
        <v>7.5710563764435815E-2</v>
      </c>
      <c r="X18" s="705">
        <f>400200+12872</f>
        <v>413072</v>
      </c>
      <c r="Y18" s="860">
        <f t="shared" si="28"/>
        <v>7.673550852655979E-2</v>
      </c>
      <c r="Z18" s="1235">
        <f>300000-50000</f>
        <v>250000</v>
      </c>
      <c r="AA18" s="1050">
        <f t="shared" si="29"/>
        <v>5.0761421319796954E-2</v>
      </c>
      <c r="AB18" s="1144">
        <f t="shared" si="30"/>
        <v>-75000</v>
      </c>
      <c r="AC18" s="452">
        <f t="shared" si="4"/>
        <v>-0.23076923076923078</v>
      </c>
      <c r="AD18" s="421">
        <f>468116+30063</f>
        <v>498179</v>
      </c>
      <c r="AE18" s="245">
        <f t="shared" si="31"/>
        <v>0.10943022057642854</v>
      </c>
      <c r="AF18" s="774">
        <v>325000</v>
      </c>
      <c r="AG18" s="782">
        <f t="shared" si="33"/>
        <v>6.828649230148591E-2</v>
      </c>
      <c r="AH18" s="1001">
        <f t="shared" si="34"/>
        <v>173179</v>
      </c>
      <c r="AI18" s="451">
        <f t="shared" si="35"/>
        <v>0.5328584615384615</v>
      </c>
      <c r="AJ18" s="1049">
        <v>325000</v>
      </c>
      <c r="AK18" s="1050">
        <f t="shared" si="36"/>
        <v>6.0747663551401869E-2</v>
      </c>
      <c r="AL18" s="585">
        <v>325000</v>
      </c>
      <c r="AM18" s="586">
        <f t="shared" si="37"/>
        <v>5.8035714285714288E-2</v>
      </c>
      <c r="AN18" s="781">
        <v>325000</v>
      </c>
      <c r="AO18" s="782">
        <f t="shared" si="38"/>
        <v>5.8035714285714288E-2</v>
      </c>
      <c r="AP18" s="1001">
        <f t="shared" si="44"/>
        <v>227345.66666666669</v>
      </c>
      <c r="AQ18" s="451">
        <f t="shared" si="39"/>
        <v>0.69952512820512824</v>
      </c>
      <c r="AR18" s="855">
        <v>292806</v>
      </c>
      <c r="AS18" s="748">
        <f t="shared" si="40"/>
        <v>6.1437958690114168E-2</v>
      </c>
      <c r="AT18" s="1123">
        <f>392100+26226</f>
        <v>418326</v>
      </c>
      <c r="AU18" s="1216">
        <f t="shared" si="41"/>
        <v>7.7900195995363145E-2</v>
      </c>
      <c r="AV18" s="1198">
        <f t="shared" si="42"/>
        <v>205373</v>
      </c>
      <c r="AW18" s="452">
        <f t="shared" si="43"/>
        <v>0.70139614625383362</v>
      </c>
      <c r="AY18" s="2"/>
    </row>
    <row r="19" spans="1:51" ht="18" customHeight="1" x14ac:dyDescent="0.25">
      <c r="A19" s="98">
        <v>15</v>
      </c>
      <c r="B19" s="99" t="s">
        <v>297</v>
      </c>
      <c r="C19" s="78" t="s">
        <v>176</v>
      </c>
      <c r="D19" s="56">
        <v>456289.89</v>
      </c>
      <c r="E19" s="57">
        <f t="shared" si="18"/>
        <v>8.6680649580297933E-2</v>
      </c>
      <c r="F19" s="167">
        <v>449228</v>
      </c>
      <c r="G19" s="166">
        <f t="shared" si="19"/>
        <v>8.7874934298410701E-2</v>
      </c>
      <c r="H19" s="126">
        <v>533258</v>
      </c>
      <c r="I19" s="57">
        <f t="shared" si="20"/>
        <v>9.7755802427900565E-2</v>
      </c>
      <c r="J19" s="167">
        <v>455285</v>
      </c>
      <c r="K19" s="166">
        <f t="shared" si="21"/>
        <v>8.1474447980349571E-2</v>
      </c>
      <c r="L19" s="306">
        <v>372127</v>
      </c>
      <c r="M19" s="214">
        <f t="shared" si="22"/>
        <v>7.2520942045140965E-2</v>
      </c>
      <c r="N19" s="508">
        <v>444645</v>
      </c>
      <c r="O19" s="509">
        <f t="shared" si="23"/>
        <v>8.1849192202987545E-2</v>
      </c>
      <c r="P19" s="655">
        <v>468826</v>
      </c>
      <c r="Q19" s="356">
        <f t="shared" si="24"/>
        <v>8.0723690452146404E-2</v>
      </c>
      <c r="R19" s="508">
        <f>149883+219199+3862+95+10718+1100</f>
        <v>384857</v>
      </c>
      <c r="S19" s="509">
        <f t="shared" si="25"/>
        <v>7.2759346858492502E-2</v>
      </c>
      <c r="T19" s="355">
        <f>205312+185580+3188+109+14685+862</f>
        <v>409736</v>
      </c>
      <c r="U19" s="356">
        <f t="shared" si="26"/>
        <v>8.4286729904616456E-2</v>
      </c>
      <c r="V19" s="655">
        <f>200380+195609+14313+19084+1431</f>
        <v>430817</v>
      </c>
      <c r="W19" s="860">
        <f t="shared" si="27"/>
        <v>7.9962633606849937E-2</v>
      </c>
      <c r="X19" s="705">
        <f>191831+201658+40664+20478+634+1299</f>
        <v>456564</v>
      </c>
      <c r="Y19" s="860">
        <f t="shared" si="28"/>
        <v>8.4814925037088554E-2</v>
      </c>
      <c r="Z19" s="1235">
        <f>455125-30000+25000</f>
        <v>450125</v>
      </c>
      <c r="AA19" s="1050">
        <f t="shared" si="29"/>
        <v>9.1395939086294412E-2</v>
      </c>
      <c r="AB19" s="1144">
        <f t="shared" si="30"/>
        <v>-24875</v>
      </c>
      <c r="AC19" s="452">
        <f t="shared" si="4"/>
        <v>-5.2368421052631578E-2</v>
      </c>
      <c r="AD19" s="421">
        <f>184434+145614+62571+21032+591</f>
        <v>414242</v>
      </c>
      <c r="AE19" s="245">
        <f t="shared" si="31"/>
        <v>9.0992581847129064E-2</v>
      </c>
      <c r="AF19" s="774">
        <f t="shared" si="32"/>
        <v>422560</v>
      </c>
      <c r="AG19" s="782">
        <f t="shared" si="33"/>
        <v>8.8785046728971959E-2</v>
      </c>
      <c r="AH19" s="1001">
        <f t="shared" si="34"/>
        <v>-8318</v>
      </c>
      <c r="AI19" s="451">
        <f t="shared" si="35"/>
        <v>-1.9684778492995079E-2</v>
      </c>
      <c r="AJ19" s="1049">
        <v>475000</v>
      </c>
      <c r="AK19" s="1050">
        <f t="shared" si="36"/>
        <v>8.8785046728971959E-2</v>
      </c>
      <c r="AL19" s="585">
        <v>492800</v>
      </c>
      <c r="AM19" s="586">
        <f t="shared" si="37"/>
        <v>8.7999999999999995E-2</v>
      </c>
      <c r="AN19" s="781">
        <v>492800</v>
      </c>
      <c r="AO19" s="782">
        <f t="shared" si="38"/>
        <v>8.7999999999999995E-2</v>
      </c>
      <c r="AP19" s="450">
        <f>$AD19-(AL19*$AX$2)</f>
        <v>-24152.879999999946</v>
      </c>
      <c r="AQ19" s="451">
        <f t="shared" si="39"/>
        <v>-4.9011525974025867E-2</v>
      </c>
      <c r="AR19" s="855">
        <v>395568</v>
      </c>
      <c r="AS19" s="748">
        <f t="shared" si="40"/>
        <v>8.2999974191550308E-2</v>
      </c>
      <c r="AT19" s="1123">
        <f>206093+162038+68265+28166+772</f>
        <v>465334</v>
      </c>
      <c r="AU19" s="1216">
        <f t="shared" si="41"/>
        <v>8.6653972746868035E-2</v>
      </c>
      <c r="AV19" s="1198">
        <f t="shared" si="42"/>
        <v>18674</v>
      </c>
      <c r="AW19" s="452">
        <f t="shared" si="43"/>
        <v>4.7208065364235732E-2</v>
      </c>
      <c r="AY19" s="2"/>
    </row>
    <row r="20" spans="1:51" ht="18" customHeight="1" x14ac:dyDescent="0.25">
      <c r="A20" s="280">
        <v>16</v>
      </c>
      <c r="B20" s="99" t="s">
        <v>298</v>
      </c>
      <c r="C20" s="79" t="s">
        <v>371</v>
      </c>
      <c r="D20" s="58">
        <v>23934.41</v>
      </c>
      <c r="E20" s="59">
        <f t="shared" si="18"/>
        <v>4.5467810082778261E-3</v>
      </c>
      <c r="F20" s="168">
        <v>39032</v>
      </c>
      <c r="G20" s="169">
        <f t="shared" si="19"/>
        <v>7.6351750904564419E-3</v>
      </c>
      <c r="H20" s="127">
        <v>31560</v>
      </c>
      <c r="I20" s="59">
        <f t="shared" si="20"/>
        <v>5.785516812920841E-3</v>
      </c>
      <c r="J20" s="168">
        <v>88132</v>
      </c>
      <c r="K20" s="169">
        <f t="shared" si="21"/>
        <v>1.577145315440695E-2</v>
      </c>
      <c r="L20" s="308">
        <v>96479</v>
      </c>
      <c r="M20" s="215">
        <f t="shared" si="22"/>
        <v>1.8802043301273906E-2</v>
      </c>
      <c r="N20" s="511">
        <v>50319</v>
      </c>
      <c r="O20" s="512">
        <f t="shared" si="23"/>
        <v>9.2626016315535548E-3</v>
      </c>
      <c r="P20" s="657">
        <v>60359</v>
      </c>
      <c r="Q20" s="359">
        <f t="shared" si="24"/>
        <v>1.039277094700615E-2</v>
      </c>
      <c r="R20" s="511">
        <v>74809</v>
      </c>
      <c r="S20" s="512">
        <f t="shared" si="25"/>
        <v>1.4143055678179077E-2</v>
      </c>
      <c r="T20" s="358">
        <f>900+50339</f>
        <v>51239</v>
      </c>
      <c r="U20" s="359">
        <f t="shared" si="26"/>
        <v>1.0540366854712895E-2</v>
      </c>
      <c r="V20" s="657">
        <v>56675</v>
      </c>
      <c r="W20" s="861">
        <f t="shared" si="27"/>
        <v>1.0519274447545524E-2</v>
      </c>
      <c r="X20" s="884">
        <v>82876</v>
      </c>
      <c r="Y20" s="861">
        <f t="shared" si="28"/>
        <v>1.5395698581959487E-2</v>
      </c>
      <c r="Z20" s="1237">
        <v>30000</v>
      </c>
      <c r="AA20" s="1053">
        <f t="shared" si="29"/>
        <v>6.0913705583756344E-3</v>
      </c>
      <c r="AB20" s="1144">
        <f t="shared" si="30"/>
        <v>-10000</v>
      </c>
      <c r="AC20" s="482">
        <f t="shared" si="4"/>
        <v>-0.25</v>
      </c>
      <c r="AD20" s="1000">
        <v>35761</v>
      </c>
      <c r="AE20" s="246">
        <f t="shared" si="31"/>
        <v>7.8552771554675355E-3</v>
      </c>
      <c r="AF20" s="774">
        <f t="shared" si="32"/>
        <v>35584</v>
      </c>
      <c r="AG20" s="785">
        <f t="shared" si="33"/>
        <v>7.4766355140186919E-3</v>
      </c>
      <c r="AH20" s="1001">
        <f t="shared" si="34"/>
        <v>177</v>
      </c>
      <c r="AI20" s="451">
        <f t="shared" si="35"/>
        <v>4.9741456834532377E-3</v>
      </c>
      <c r="AJ20" s="1052">
        <v>40000</v>
      </c>
      <c r="AK20" s="1053">
        <f t="shared" si="36"/>
        <v>7.4766355140186919E-3</v>
      </c>
      <c r="AL20" s="588">
        <v>41250</v>
      </c>
      <c r="AM20" s="589">
        <f t="shared" si="37"/>
        <v>7.3660714285714284E-3</v>
      </c>
      <c r="AN20" s="784">
        <v>41250</v>
      </c>
      <c r="AO20" s="785">
        <f t="shared" si="38"/>
        <v>7.3660714285714284E-3</v>
      </c>
      <c r="AP20" s="450">
        <f>$AD20-(AL20*$AX$2)</f>
        <v>-935</v>
      </c>
      <c r="AQ20" s="451">
        <f t="shared" si="39"/>
        <v>-2.2666666666666668E-2</v>
      </c>
      <c r="AR20" s="851">
        <v>47090</v>
      </c>
      <c r="AS20" s="749">
        <f t="shared" si="40"/>
        <v>9.8806495588118961E-3</v>
      </c>
      <c r="AT20" s="1030">
        <v>60247</v>
      </c>
      <c r="AU20" s="1217">
        <f t="shared" si="41"/>
        <v>1.1219128402567958E-2</v>
      </c>
      <c r="AV20" s="1199">
        <f t="shared" si="42"/>
        <v>-11329</v>
      </c>
      <c r="AW20" s="482">
        <f t="shared" si="43"/>
        <v>-0.24058186451475896</v>
      </c>
      <c r="AY20" s="2"/>
    </row>
    <row r="21" spans="1:51" ht="18" customHeight="1" x14ac:dyDescent="0.25">
      <c r="A21" s="281">
        <v>17</v>
      </c>
      <c r="B21" s="99"/>
      <c r="C21" s="80" t="s">
        <v>177</v>
      </c>
      <c r="D21" s="27">
        <f>SUM(D13:D20)</f>
        <v>2181708.56</v>
      </c>
      <c r="E21" s="28">
        <f>SUM(E13:E20)</f>
        <v>0.41445563296547372</v>
      </c>
      <c r="F21" s="159">
        <f>SUM(F13:F20)</f>
        <v>2092634</v>
      </c>
      <c r="G21" s="160">
        <f>SUM(G13:G20)</f>
        <v>0.40934686898550487</v>
      </c>
      <c r="H21" s="122">
        <f>SUM(H13:H20)</f>
        <v>2256819</v>
      </c>
      <c r="I21" s="33">
        <f t="shared" si="20"/>
        <v>0.41371559785231937</v>
      </c>
      <c r="J21" s="159">
        <f>SUM(J13:J20)</f>
        <v>2445721</v>
      </c>
      <c r="K21" s="170">
        <f t="shared" si="21"/>
        <v>0.43766820428731129</v>
      </c>
      <c r="L21" s="303">
        <f>SUM(L13:L20)</f>
        <v>2123436</v>
      </c>
      <c r="M21" s="216">
        <f t="shared" si="22"/>
        <v>0.41381995687645867</v>
      </c>
      <c r="N21" s="501">
        <f>SUM(N13:N20)</f>
        <v>2205796</v>
      </c>
      <c r="O21" s="513">
        <f t="shared" si="23"/>
        <v>0.4060376722207179</v>
      </c>
      <c r="P21" s="651">
        <f>SUM(P13:P20)</f>
        <v>2326943</v>
      </c>
      <c r="Q21" s="360">
        <f t="shared" si="24"/>
        <v>0.40065914951770787</v>
      </c>
      <c r="R21" s="501">
        <f>SUM(R13:R20)</f>
        <v>2146584</v>
      </c>
      <c r="S21" s="513">
        <f t="shared" si="25"/>
        <v>0.40582359114395805</v>
      </c>
      <c r="T21" s="350">
        <f>SUM(T13:T20)</f>
        <v>2026778</v>
      </c>
      <c r="U21" s="360">
        <f t="shared" si="26"/>
        <v>0.41692819245225887</v>
      </c>
      <c r="V21" s="651">
        <f>SUM(V13:V20)</f>
        <v>2186445</v>
      </c>
      <c r="W21" s="862">
        <f t="shared" si="27"/>
        <v>0.40581940925388044</v>
      </c>
      <c r="X21" s="885">
        <f>SUM(X13:X20)</f>
        <v>2136466</v>
      </c>
      <c r="Y21" s="862">
        <f t="shared" si="28"/>
        <v>0.39688675330137385</v>
      </c>
      <c r="Z21" s="1231">
        <f>SUM(Z13:Z20)</f>
        <v>1718695</v>
      </c>
      <c r="AA21" s="1054">
        <f t="shared" si="29"/>
        <v>0.34897360406091371</v>
      </c>
      <c r="AB21" s="1150">
        <f>SUM(AB13:AB20)</f>
        <v>-232305</v>
      </c>
      <c r="AC21" s="454">
        <f t="shared" si="4"/>
        <v>-0.11906970784213224</v>
      </c>
      <c r="AD21" s="693">
        <f>SUM(AD13:AD20)</f>
        <v>1828069</v>
      </c>
      <c r="AE21" s="247">
        <f t="shared" si="31"/>
        <v>0.40155444910148991</v>
      </c>
      <c r="AF21" s="776">
        <f>SUM(AF13:AF20)</f>
        <v>1775224</v>
      </c>
      <c r="AG21" s="786">
        <f t="shared" si="33"/>
        <v>0.3729963692597324</v>
      </c>
      <c r="AH21" s="453">
        <f>SUM(AH13:AH20)</f>
        <v>52845</v>
      </c>
      <c r="AI21" s="454">
        <f>AH21/AF21</f>
        <v>2.976807433878767E-2</v>
      </c>
      <c r="AJ21" s="1042">
        <f>SUM(AJ13:AJ20)</f>
        <v>1951000</v>
      </c>
      <c r="AK21" s="1054">
        <f t="shared" si="36"/>
        <v>0.36467289719626167</v>
      </c>
      <c r="AL21" s="578">
        <f>SUM(AL13:AL20)</f>
        <v>2122630</v>
      </c>
      <c r="AM21" s="590">
        <f t="shared" si="37"/>
        <v>0.37904107142857141</v>
      </c>
      <c r="AN21" s="776">
        <f>SUM(AN13:AN20)</f>
        <v>2122630</v>
      </c>
      <c r="AO21" s="786">
        <f t="shared" si="38"/>
        <v>0.37904107142857141</v>
      </c>
      <c r="AP21" s="453">
        <f>SUM(AP13:AP20)</f>
        <v>-90540.519999999844</v>
      </c>
      <c r="AQ21" s="454">
        <f>AP21/AN21</f>
        <v>-4.2654876261995656E-2</v>
      </c>
      <c r="AR21" s="693">
        <f>SUM(AR13:AR20)</f>
        <v>1767232</v>
      </c>
      <c r="AS21" s="750">
        <f t="shared" si="40"/>
        <v>0.37080909070117363</v>
      </c>
      <c r="AT21" s="693">
        <f>SUM(AT13:AT20)</f>
        <v>2041696</v>
      </c>
      <c r="AU21" s="1218">
        <f t="shared" si="41"/>
        <v>0.38020232680481003</v>
      </c>
      <c r="AV21" s="1200">
        <f>SUM(AV13:AV20)</f>
        <v>60837</v>
      </c>
      <c r="AW21" s="455">
        <f t="shared" si="43"/>
        <v>3.4425021728895812E-2</v>
      </c>
      <c r="AY21" s="2"/>
    </row>
    <row r="22" spans="1:51" ht="15" customHeight="1" x14ac:dyDescent="0.25">
      <c r="A22" s="282">
        <v>18</v>
      </c>
      <c r="B22" s="99"/>
      <c r="C22" s="76"/>
      <c r="D22" s="29"/>
      <c r="E22" s="32"/>
      <c r="F22" s="161"/>
      <c r="G22" s="171"/>
      <c r="H22" s="123"/>
      <c r="I22" s="32"/>
      <c r="J22" s="161"/>
      <c r="K22" s="171"/>
      <c r="L22" s="305"/>
      <c r="M22" s="217"/>
      <c r="N22" s="506"/>
      <c r="O22" s="514"/>
      <c r="P22" s="654"/>
      <c r="Q22" s="361"/>
      <c r="R22" s="506"/>
      <c r="S22" s="514"/>
      <c r="T22" s="353"/>
      <c r="U22" s="361"/>
      <c r="V22" s="654"/>
      <c r="W22" s="863"/>
      <c r="X22" s="886"/>
      <c r="Y22" s="863"/>
      <c r="Z22" s="1234"/>
      <c r="AA22" s="1055"/>
      <c r="AB22" s="1151"/>
      <c r="AC22" s="459"/>
      <c r="AD22" s="694"/>
      <c r="AE22" s="248"/>
      <c r="AF22" s="779"/>
      <c r="AG22" s="787"/>
      <c r="AH22" s="457"/>
      <c r="AI22" s="458"/>
      <c r="AJ22" s="1047"/>
      <c r="AK22" s="1055"/>
      <c r="AL22" s="583"/>
      <c r="AM22" s="591"/>
      <c r="AN22" s="779"/>
      <c r="AO22" s="787"/>
      <c r="AP22" s="457"/>
      <c r="AQ22" s="458"/>
      <c r="AR22" s="694"/>
      <c r="AS22" s="751"/>
      <c r="AT22" s="694"/>
      <c r="AU22" s="1219"/>
      <c r="AV22" s="1202"/>
      <c r="AW22" s="459"/>
      <c r="AY22" s="2"/>
    </row>
    <row r="23" spans="1:51" ht="18" customHeight="1" x14ac:dyDescent="0.25">
      <c r="A23" s="281">
        <v>19</v>
      </c>
      <c r="B23" s="99"/>
      <c r="C23" s="80" t="s">
        <v>178</v>
      </c>
      <c r="D23" s="35">
        <f>SUM(D11-D21)</f>
        <v>3082325.48</v>
      </c>
      <c r="E23" s="33">
        <f>E11-E21</f>
        <v>0.58554436703452628</v>
      </c>
      <c r="F23" s="172">
        <f>SUM(F11-F21)</f>
        <v>3019495</v>
      </c>
      <c r="G23" s="170">
        <f>G11-G21</f>
        <v>0.59065313101449513</v>
      </c>
      <c r="H23" s="128">
        <f>SUM(H11-H21)</f>
        <v>3198182</v>
      </c>
      <c r="I23" s="33">
        <f>H23/H$11</f>
        <v>0.58628440214768063</v>
      </c>
      <c r="J23" s="172">
        <f>SUM(J11-J21)</f>
        <v>3142350</v>
      </c>
      <c r="K23" s="170">
        <f>J23/J$11</f>
        <v>0.56233179571268865</v>
      </c>
      <c r="L23" s="309">
        <f>SUM(L11-L21)</f>
        <v>3007868</v>
      </c>
      <c r="M23" s="216">
        <f>L23/L$11</f>
        <v>0.58618004312354133</v>
      </c>
      <c r="N23" s="515">
        <f>SUM(N11-N21)</f>
        <v>3226695</v>
      </c>
      <c r="O23" s="513">
        <f>N23/N$11</f>
        <v>0.59396232777928215</v>
      </c>
      <c r="P23" s="658">
        <f>SUM(P11-P21)</f>
        <v>3480844</v>
      </c>
      <c r="Q23" s="360">
        <f>P23/P$11</f>
        <v>0.59934085048229213</v>
      </c>
      <c r="R23" s="515">
        <f>SUM(R11-R21)</f>
        <v>3142867</v>
      </c>
      <c r="S23" s="513">
        <f>R23/R$11</f>
        <v>0.59417640885604195</v>
      </c>
      <c r="T23" s="362">
        <f>SUM(T11-T21)</f>
        <v>2834438</v>
      </c>
      <c r="U23" s="360">
        <f>T23/T$11</f>
        <v>0.58307180754774113</v>
      </c>
      <c r="V23" s="658">
        <f>SUM(V11-V21)</f>
        <v>3201284</v>
      </c>
      <c r="W23" s="862">
        <f>V23/V$11</f>
        <v>0.59418059074611951</v>
      </c>
      <c r="X23" s="887">
        <f>SUM(X11-X21)</f>
        <v>3246596</v>
      </c>
      <c r="Y23" s="862">
        <f>X23/X$11</f>
        <v>0.6031132466986262</v>
      </c>
      <c r="Z23" s="1238">
        <f>SUM(Z11-Z21)</f>
        <v>3206305</v>
      </c>
      <c r="AA23" s="1054">
        <f>Z23/Z$11</f>
        <v>0.65102639593908629</v>
      </c>
      <c r="AB23" s="1150">
        <f>AB11-AB21</f>
        <v>-192695</v>
      </c>
      <c r="AC23" s="454">
        <f t="shared" si="4"/>
        <v>-5.669167402177111E-2</v>
      </c>
      <c r="AD23" s="423">
        <f>SUM(AD11-AD21)</f>
        <v>2724412</v>
      </c>
      <c r="AE23" s="247">
        <f>AD23/AD$11</f>
        <v>0.59844555089851004</v>
      </c>
      <c r="AF23" s="788">
        <f>SUM(AF11-AF21)</f>
        <v>2984136</v>
      </c>
      <c r="AG23" s="786">
        <f>AF23/AF$11</f>
        <v>0.62700363074026755</v>
      </c>
      <c r="AH23" s="453">
        <f>AH11-AH21</f>
        <v>-259724</v>
      </c>
      <c r="AI23" s="454">
        <f>AH23/AF23</f>
        <v>-8.7034907256237651E-2</v>
      </c>
      <c r="AJ23" s="1056">
        <f>SUM(AJ11-AJ21)</f>
        <v>3399000</v>
      </c>
      <c r="AK23" s="1054">
        <f>AJ23/AJ$11</f>
        <v>0.63532710280373828</v>
      </c>
      <c r="AL23" s="592">
        <f>SUM(AL11-AL21)</f>
        <v>3477370</v>
      </c>
      <c r="AM23" s="590">
        <f>AL23/AL$11</f>
        <v>0.62095892857142854</v>
      </c>
      <c r="AN23" s="788">
        <f>SUM(AN11-AN21)</f>
        <v>3477370</v>
      </c>
      <c r="AO23" s="786">
        <f>AN23/AN$11</f>
        <v>0.62095892857142854</v>
      </c>
      <c r="AP23" s="453">
        <f>AP11-AP21</f>
        <v>-340145.14666666678</v>
      </c>
      <c r="AQ23" s="454">
        <f>AP23/AN23</f>
        <v>-9.7816782990210072E-2</v>
      </c>
      <c r="AR23" s="728">
        <f>SUM(AR11-AR21)</f>
        <v>2998649</v>
      </c>
      <c r="AS23" s="750">
        <f>AR23/AR$11</f>
        <v>0.62919090929882637</v>
      </c>
      <c r="AT23" s="728">
        <f>SUM(AT11-AT21)</f>
        <v>3328329</v>
      </c>
      <c r="AU23" s="1218">
        <f>AT23/AT$11</f>
        <v>0.61979767319518997</v>
      </c>
      <c r="AV23" s="1200">
        <f>AV11-AV21</f>
        <v>-274237</v>
      </c>
      <c r="AW23" s="455">
        <f>AV23/AR23</f>
        <v>-9.1453517900894704E-2</v>
      </c>
      <c r="AY23" s="2"/>
    </row>
    <row r="24" spans="1:51" ht="15" customHeight="1" x14ac:dyDescent="0.25">
      <c r="A24" s="97">
        <v>20</v>
      </c>
      <c r="B24" s="99"/>
      <c r="C24" s="81"/>
      <c r="D24" s="29"/>
      <c r="E24" s="32"/>
      <c r="F24" s="161"/>
      <c r="G24" s="171"/>
      <c r="H24" s="123"/>
      <c r="I24" s="32"/>
      <c r="J24" s="161"/>
      <c r="K24" s="171"/>
      <c r="L24" s="305"/>
      <c r="M24" s="217"/>
      <c r="N24" s="506"/>
      <c r="O24" s="514"/>
      <c r="P24" s="654"/>
      <c r="Q24" s="361"/>
      <c r="R24" s="506"/>
      <c r="S24" s="514"/>
      <c r="T24" s="353"/>
      <c r="U24" s="361"/>
      <c r="V24" s="654"/>
      <c r="W24" s="863"/>
      <c r="X24" s="654"/>
      <c r="Y24" s="863"/>
      <c r="Z24" s="1234"/>
      <c r="AA24" s="1055"/>
      <c r="AB24" s="1151"/>
      <c r="AC24" s="464"/>
      <c r="AD24" s="694"/>
      <c r="AE24" s="248"/>
      <c r="AF24" s="779"/>
      <c r="AG24" s="787"/>
      <c r="AH24" s="457"/>
      <c r="AI24" s="458"/>
      <c r="AJ24" s="1047"/>
      <c r="AK24" s="1055"/>
      <c r="AL24" s="583"/>
      <c r="AM24" s="591"/>
      <c r="AN24" s="779"/>
      <c r="AO24" s="787"/>
      <c r="AP24" s="457"/>
      <c r="AQ24" s="458"/>
      <c r="AR24" s="694"/>
      <c r="AS24" s="751"/>
      <c r="AT24" s="694"/>
      <c r="AU24" s="1219"/>
      <c r="AV24" s="1202"/>
      <c r="AW24" s="464"/>
      <c r="AY24" s="2"/>
    </row>
    <row r="25" spans="1:51" ht="18" customHeight="1" x14ac:dyDescent="0.25">
      <c r="A25" s="97">
        <v>21</v>
      </c>
      <c r="B25" s="99"/>
      <c r="C25" s="78" t="s">
        <v>180</v>
      </c>
      <c r="D25" s="56">
        <f>D77</f>
        <v>510405.13</v>
      </c>
      <c r="E25" s="57">
        <f t="shared" ref="E25:E33" si="45">D25/D$11</f>
        <v>9.6960833862692886E-2</v>
      </c>
      <c r="F25" s="167">
        <f>F77</f>
        <v>528241</v>
      </c>
      <c r="G25" s="166">
        <f t="shared" ref="G25:G33" si="46">F25/F$11</f>
        <v>0.1033309214223663</v>
      </c>
      <c r="H25" s="126">
        <f>H77</f>
        <v>576143</v>
      </c>
      <c r="I25" s="57">
        <f t="shared" ref="I25:I34" si="47">H25/H$11</f>
        <v>0.10561739585382295</v>
      </c>
      <c r="J25" s="167">
        <f>J77</f>
        <v>597441</v>
      </c>
      <c r="K25" s="166">
        <f t="shared" ref="K25:K34" si="48">J25/J$11</f>
        <v>0.10691363799779924</v>
      </c>
      <c r="L25" s="306">
        <f>L77</f>
        <v>655298</v>
      </c>
      <c r="M25" s="214">
        <f t="shared" ref="M25:M34" si="49">L25/L$11</f>
        <v>0.12770593985466464</v>
      </c>
      <c r="N25" s="508">
        <f>N77</f>
        <v>687843</v>
      </c>
      <c r="O25" s="509">
        <f t="shared" ref="O25:O34" si="50">N25/N$11</f>
        <v>0.12661650060718002</v>
      </c>
      <c r="P25" s="655">
        <f>P77</f>
        <v>665890</v>
      </c>
      <c r="Q25" s="356">
        <f t="shared" ref="Q25:Q34" si="51">P25/P$11</f>
        <v>0.11465468688848265</v>
      </c>
      <c r="R25" s="508">
        <f>R77</f>
        <v>731091</v>
      </c>
      <c r="S25" s="509">
        <f t="shared" ref="S25:S34" si="52">R25/R$11</f>
        <v>0.13821680170588593</v>
      </c>
      <c r="T25" s="355">
        <f>T77</f>
        <v>738059</v>
      </c>
      <c r="U25" s="356">
        <f t="shared" ref="U25:U34" si="53">T25/T$11</f>
        <v>0.15182600402862165</v>
      </c>
      <c r="V25" s="655">
        <f>V77</f>
        <v>700982</v>
      </c>
      <c r="W25" s="860">
        <f t="shared" ref="W25:W34" si="54">V25/V$11</f>
        <v>0.13010713790541431</v>
      </c>
      <c r="X25" s="655">
        <f>X77</f>
        <v>619661</v>
      </c>
      <c r="Y25" s="860">
        <f t="shared" ref="Y25:Y34" si="55">X25/X$11</f>
        <v>0.11511310848732562</v>
      </c>
      <c r="Z25" s="1235">
        <f>Z77</f>
        <v>739315</v>
      </c>
      <c r="AA25" s="1050">
        <f t="shared" ref="AA25:AA34" si="56">Z25/Z$11</f>
        <v>0.15011472081218274</v>
      </c>
      <c r="AB25" s="1170">
        <f t="shared" ref="AB25:AB33" si="57">Z25-AJ25</f>
        <v>-34965</v>
      </c>
      <c r="AC25" s="452">
        <f t="shared" si="4"/>
        <v>-4.51580823474712E-2</v>
      </c>
      <c r="AD25" s="421">
        <f>AD77</f>
        <v>650195</v>
      </c>
      <c r="AE25" s="245">
        <f t="shared" ref="AE25:AE34" si="58">AD25/AD$11</f>
        <v>0.14282212270627817</v>
      </c>
      <c r="AF25" s="781">
        <f>AF77</f>
        <v>648692.4</v>
      </c>
      <c r="AG25" s="782">
        <f t="shared" ref="AG25:AG34" si="59">AF25/AF$11</f>
        <v>0.13629824178040745</v>
      </c>
      <c r="AH25" s="1001">
        <f t="shared" ref="AH25:AH33" si="60">AD25-AF25</f>
        <v>1502.5999999999767</v>
      </c>
      <c r="AI25" s="451">
        <f t="shared" ref="AI25:AI33" si="61">AH25/AF25</f>
        <v>2.3163520953844636E-3</v>
      </c>
      <c r="AJ25" s="1049">
        <f>AJ77</f>
        <v>774280</v>
      </c>
      <c r="AK25" s="1050">
        <f t="shared" ref="AK25:AK34" si="62">AJ25/AJ$11</f>
        <v>0.14472523364485981</v>
      </c>
      <c r="AL25" s="585">
        <f>AL77</f>
        <v>773765</v>
      </c>
      <c r="AM25" s="586">
        <f t="shared" ref="AM25:AM34" si="63">AL25/AL$11</f>
        <v>0.13817232142857142</v>
      </c>
      <c r="AN25" s="781">
        <f>AN77</f>
        <v>773765</v>
      </c>
      <c r="AO25" s="782">
        <f t="shared" ref="AO25:AO34" si="64">AN25/AN$11</f>
        <v>0.13817232142857142</v>
      </c>
      <c r="AP25" s="388">
        <f>AP77</f>
        <v>6940.8333333333703</v>
      </c>
      <c r="AQ25" s="451">
        <f t="shared" ref="AQ25:AQ33" si="65">AP25/AN25</f>
        <v>8.9702084396856546E-3</v>
      </c>
      <c r="AR25" s="855">
        <f>AR77</f>
        <v>599483</v>
      </c>
      <c r="AS25" s="748">
        <f t="shared" ref="AS25:AS34" si="66">AR25/AR$11</f>
        <v>0.12578639710055706</v>
      </c>
      <c r="AT25" s="1123">
        <f>AT77</f>
        <v>728526</v>
      </c>
      <c r="AU25" s="1216">
        <f t="shared" ref="AU25:AU34" si="67">AT25/AT$11</f>
        <v>0.13566529019883519</v>
      </c>
      <c r="AV25" s="1203">
        <f>AV77</f>
        <v>50712</v>
      </c>
      <c r="AW25" s="452">
        <f t="shared" ref="AW25:AW34" si="68">AV25/AR25</f>
        <v>8.4592890874303356E-2</v>
      </c>
      <c r="AY25" s="2"/>
    </row>
    <row r="26" spans="1:51" ht="18" customHeight="1" x14ac:dyDescent="0.25">
      <c r="A26" s="98">
        <v>22</v>
      </c>
      <c r="B26" s="99"/>
      <c r="C26" s="78" t="s">
        <v>181</v>
      </c>
      <c r="D26" s="56">
        <f>D90</f>
        <v>411238</v>
      </c>
      <c r="E26" s="57">
        <f t="shared" si="45"/>
        <v>7.8122215182331908E-2</v>
      </c>
      <c r="F26" s="167">
        <f>F90</f>
        <v>429527</v>
      </c>
      <c r="G26" s="166">
        <f t="shared" si="46"/>
        <v>8.4021158308016097E-2</v>
      </c>
      <c r="H26" s="126">
        <f>H90</f>
        <v>436238</v>
      </c>
      <c r="I26" s="57">
        <f t="shared" si="47"/>
        <v>7.9970287814795996E-2</v>
      </c>
      <c r="J26" s="167">
        <f>J90</f>
        <v>483408</v>
      </c>
      <c r="K26" s="166">
        <f t="shared" si="48"/>
        <v>8.6507132783388035E-2</v>
      </c>
      <c r="L26" s="306">
        <f>L90</f>
        <v>484624</v>
      </c>
      <c r="M26" s="214">
        <f t="shared" si="49"/>
        <v>9.4444609011666431E-2</v>
      </c>
      <c r="N26" s="508">
        <f>N90</f>
        <v>498356</v>
      </c>
      <c r="O26" s="509">
        <f t="shared" si="50"/>
        <v>9.1736185112869947E-2</v>
      </c>
      <c r="P26" s="655">
        <f>P90</f>
        <v>495076</v>
      </c>
      <c r="Q26" s="356">
        <f t="shared" si="51"/>
        <v>8.5243484308222733E-2</v>
      </c>
      <c r="R26" s="508">
        <f>R90</f>
        <v>520999</v>
      </c>
      <c r="S26" s="509">
        <f t="shared" si="52"/>
        <v>9.8497745796302869E-2</v>
      </c>
      <c r="T26" s="355">
        <f>T90</f>
        <v>565332</v>
      </c>
      <c r="U26" s="356">
        <f t="shared" si="53"/>
        <v>0.11629435927142509</v>
      </c>
      <c r="V26" s="655">
        <f>V90</f>
        <v>533434</v>
      </c>
      <c r="W26" s="860">
        <f t="shared" si="54"/>
        <v>9.9009063002240827E-2</v>
      </c>
      <c r="X26" s="655">
        <f>X90</f>
        <v>515182</v>
      </c>
      <c r="Y26" s="860">
        <f t="shared" si="55"/>
        <v>9.5704266456526049E-2</v>
      </c>
      <c r="Z26" s="1235">
        <f>Z90</f>
        <v>549445</v>
      </c>
      <c r="AA26" s="1050">
        <f t="shared" si="56"/>
        <v>0.11156243654822336</v>
      </c>
      <c r="AB26" s="1144">
        <f t="shared" si="57"/>
        <v>2505</v>
      </c>
      <c r="AC26" s="452">
        <f t="shared" si="4"/>
        <v>4.5800270596409115E-3</v>
      </c>
      <c r="AD26" s="421">
        <f>AD90</f>
        <v>444501</v>
      </c>
      <c r="AE26" s="245">
        <f t="shared" si="58"/>
        <v>9.7639287237003297E-2</v>
      </c>
      <c r="AF26" s="781">
        <f>AF90</f>
        <v>449572.19999999995</v>
      </c>
      <c r="AG26" s="782">
        <f t="shared" si="59"/>
        <v>9.4460641766960257E-2</v>
      </c>
      <c r="AH26" s="1001">
        <f t="shared" si="60"/>
        <v>-5071.1999999999534</v>
      </c>
      <c r="AI26" s="451">
        <f t="shared" si="61"/>
        <v>-1.1280056907433231E-2</v>
      </c>
      <c r="AJ26" s="1049">
        <f>AJ90</f>
        <v>546940</v>
      </c>
      <c r="AK26" s="1050">
        <f t="shared" si="62"/>
        <v>0.10223177570093459</v>
      </c>
      <c r="AL26" s="585">
        <f>AL90</f>
        <v>555565</v>
      </c>
      <c r="AM26" s="586">
        <f t="shared" si="63"/>
        <v>9.9208035714285714E-2</v>
      </c>
      <c r="AN26" s="781">
        <f>AN90</f>
        <v>555565</v>
      </c>
      <c r="AO26" s="782">
        <f t="shared" si="64"/>
        <v>9.9208035714285714E-2</v>
      </c>
      <c r="AP26" s="388">
        <f>AP90</f>
        <v>-18469.833333333354</v>
      </c>
      <c r="AQ26" s="451">
        <f t="shared" si="65"/>
        <v>-3.3245134832707884E-2</v>
      </c>
      <c r="AR26" s="855">
        <f>AR90</f>
        <v>417736</v>
      </c>
      <c r="AS26" s="748">
        <f t="shared" si="66"/>
        <v>8.7651370229344799E-2</v>
      </c>
      <c r="AT26" s="1123">
        <f>AT90</f>
        <v>499211</v>
      </c>
      <c r="AU26" s="1216">
        <f t="shared" si="67"/>
        <v>9.2962509485523814E-2</v>
      </c>
      <c r="AV26" s="1203">
        <f>AV90</f>
        <v>26765</v>
      </c>
      <c r="AW26" s="452">
        <f t="shared" si="68"/>
        <v>6.40715667311412E-2</v>
      </c>
      <c r="AY26" s="2"/>
    </row>
    <row r="27" spans="1:51" ht="18" customHeight="1" x14ac:dyDescent="0.25">
      <c r="A27" s="98">
        <v>23</v>
      </c>
      <c r="B27" s="99"/>
      <c r="C27" s="78" t="s">
        <v>24</v>
      </c>
      <c r="D27" s="56">
        <f>D104</f>
        <v>352214</v>
      </c>
      <c r="E27" s="57">
        <f t="shared" si="45"/>
        <v>6.6909521732500046E-2</v>
      </c>
      <c r="F27" s="167">
        <f>F104</f>
        <v>331260</v>
      </c>
      <c r="G27" s="166">
        <f t="shared" si="46"/>
        <v>6.4798834301716568E-2</v>
      </c>
      <c r="H27" s="126">
        <f>H104</f>
        <v>345044</v>
      </c>
      <c r="I27" s="57">
        <f t="shared" si="47"/>
        <v>6.3252784004989182E-2</v>
      </c>
      <c r="J27" s="167">
        <f>J104</f>
        <v>370181</v>
      </c>
      <c r="K27" s="166">
        <f t="shared" si="48"/>
        <v>6.6244863388457309E-2</v>
      </c>
      <c r="L27" s="306">
        <f>L104</f>
        <v>369490</v>
      </c>
      <c r="M27" s="214">
        <f t="shared" si="49"/>
        <v>7.2007037587326725E-2</v>
      </c>
      <c r="N27" s="508">
        <f>N104</f>
        <v>376135</v>
      </c>
      <c r="O27" s="509">
        <f t="shared" si="50"/>
        <v>6.9238034632731094E-2</v>
      </c>
      <c r="P27" s="655">
        <f>P104</f>
        <v>396702</v>
      </c>
      <c r="Q27" s="356">
        <f t="shared" si="51"/>
        <v>6.8305190944502617E-2</v>
      </c>
      <c r="R27" s="508">
        <f>R104</f>
        <v>401869</v>
      </c>
      <c r="S27" s="509">
        <f t="shared" si="52"/>
        <v>7.5975559656380212E-2</v>
      </c>
      <c r="T27" s="355">
        <f>T104</f>
        <v>400769</v>
      </c>
      <c r="U27" s="356">
        <f t="shared" si="53"/>
        <v>8.2442129705818462E-2</v>
      </c>
      <c r="V27" s="655">
        <f>V104</f>
        <v>385532</v>
      </c>
      <c r="W27" s="860">
        <f t="shared" si="54"/>
        <v>7.1557422431603374E-2</v>
      </c>
      <c r="X27" s="655">
        <f>X104</f>
        <v>383167</v>
      </c>
      <c r="Y27" s="860">
        <f t="shared" si="55"/>
        <v>7.1180120162093616E-2</v>
      </c>
      <c r="Z27" s="1235">
        <f>Z104</f>
        <v>405100</v>
      </c>
      <c r="AA27" s="1050">
        <f t="shared" si="56"/>
        <v>8.2253807106598978E-2</v>
      </c>
      <c r="AB27" s="1144">
        <f t="shared" si="57"/>
        <v>50</v>
      </c>
      <c r="AC27" s="452">
        <f t="shared" si="4"/>
        <v>1.2344155042587335E-4</v>
      </c>
      <c r="AD27" s="421">
        <f>AD104</f>
        <v>336144</v>
      </c>
      <c r="AE27" s="245">
        <f t="shared" si="58"/>
        <v>7.383754045321661E-2</v>
      </c>
      <c r="AF27" s="781">
        <f>AF104</f>
        <v>336191.5</v>
      </c>
      <c r="AG27" s="782">
        <f t="shared" si="59"/>
        <v>7.0637963927923084E-2</v>
      </c>
      <c r="AH27" s="1001">
        <f t="shared" si="60"/>
        <v>-47.5</v>
      </c>
      <c r="AI27" s="451">
        <f t="shared" si="61"/>
        <v>-1.4128852157178275E-4</v>
      </c>
      <c r="AJ27" s="1049">
        <f>AJ104</f>
        <v>405050</v>
      </c>
      <c r="AK27" s="1050">
        <f t="shared" si="62"/>
        <v>7.5710280373831776E-2</v>
      </c>
      <c r="AL27" s="585">
        <f>AL104</f>
        <v>414105</v>
      </c>
      <c r="AM27" s="586">
        <f t="shared" si="63"/>
        <v>7.3947321428571425E-2</v>
      </c>
      <c r="AN27" s="781">
        <f>AN104</f>
        <v>414105</v>
      </c>
      <c r="AO27" s="782">
        <f t="shared" si="64"/>
        <v>7.3947321428571425E-2</v>
      </c>
      <c r="AP27" s="388">
        <f>AP104</f>
        <v>-8943.50000000002</v>
      </c>
      <c r="AQ27" s="451">
        <f t="shared" si="65"/>
        <v>-2.1597179459315923E-2</v>
      </c>
      <c r="AR27" s="855">
        <f>AR104</f>
        <v>310698</v>
      </c>
      <c r="AS27" s="748">
        <f t="shared" si="66"/>
        <v>6.5192143907915445E-2</v>
      </c>
      <c r="AT27" s="1123">
        <f>AT104</f>
        <v>374725</v>
      </c>
      <c r="AU27" s="1216">
        <f t="shared" si="67"/>
        <v>6.9780866941960229E-2</v>
      </c>
      <c r="AV27" s="1203">
        <f>AV104</f>
        <v>25446</v>
      </c>
      <c r="AW27" s="452">
        <f t="shared" si="68"/>
        <v>8.1899465075410849E-2</v>
      </c>
      <c r="AY27" s="2"/>
    </row>
    <row r="28" spans="1:51" ht="18" customHeight="1" x14ac:dyDescent="0.25">
      <c r="A28" s="97">
        <v>24</v>
      </c>
      <c r="B28" s="99"/>
      <c r="C28" s="78" t="s">
        <v>182</v>
      </c>
      <c r="D28" s="56">
        <f>D146</f>
        <v>1202191</v>
      </c>
      <c r="E28" s="57">
        <f t="shared" si="45"/>
        <v>0.22837827241709857</v>
      </c>
      <c r="F28" s="167">
        <f>F146</f>
        <v>1221901</v>
      </c>
      <c r="G28" s="166">
        <f t="shared" si="46"/>
        <v>0.23901998560677948</v>
      </c>
      <c r="H28" s="126">
        <f>H146</f>
        <v>1216771</v>
      </c>
      <c r="I28" s="57">
        <f t="shared" si="47"/>
        <v>0.22305605443518708</v>
      </c>
      <c r="J28" s="167">
        <f>J146</f>
        <v>1208477</v>
      </c>
      <c r="K28" s="166">
        <f t="shared" si="48"/>
        <v>0.21626013699539609</v>
      </c>
      <c r="L28" s="306">
        <f>L146</f>
        <v>1234428</v>
      </c>
      <c r="M28" s="214">
        <f t="shared" si="49"/>
        <v>0.24056808951486797</v>
      </c>
      <c r="N28" s="508">
        <f>N146</f>
        <v>1143576</v>
      </c>
      <c r="O28" s="509">
        <f t="shared" si="50"/>
        <v>0.21050674543225198</v>
      </c>
      <c r="P28" s="655">
        <f>P146</f>
        <v>1172814</v>
      </c>
      <c r="Q28" s="356">
        <f t="shared" si="51"/>
        <v>0.20193819091505938</v>
      </c>
      <c r="R28" s="508">
        <f>R146</f>
        <v>1274796</v>
      </c>
      <c r="S28" s="509">
        <f t="shared" si="52"/>
        <v>0.24100724252857245</v>
      </c>
      <c r="T28" s="355">
        <f>T146</f>
        <v>1253658</v>
      </c>
      <c r="U28" s="356">
        <f t="shared" si="53"/>
        <v>0.25788979547504165</v>
      </c>
      <c r="V28" s="655">
        <f>V146</f>
        <v>1144920</v>
      </c>
      <c r="W28" s="860">
        <f t="shared" si="54"/>
        <v>0.21250512043200392</v>
      </c>
      <c r="X28" s="655">
        <f>X146</f>
        <v>1164850</v>
      </c>
      <c r="Y28" s="860">
        <f t="shared" si="55"/>
        <v>0.21639171163178131</v>
      </c>
      <c r="Z28" s="1235">
        <f>Z146</f>
        <v>1207750</v>
      </c>
      <c r="AA28" s="1050">
        <f t="shared" si="56"/>
        <v>0.24522842639593909</v>
      </c>
      <c r="AB28" s="1144">
        <f t="shared" si="57"/>
        <v>-35245</v>
      </c>
      <c r="AC28" s="452">
        <f t="shared" si="4"/>
        <v>-2.8354900864444345E-2</v>
      </c>
      <c r="AD28" s="421">
        <f>AD146</f>
        <v>1077651</v>
      </c>
      <c r="AE28" s="245">
        <f t="shared" si="58"/>
        <v>0.23671729766692051</v>
      </c>
      <c r="AF28" s="781">
        <f>AF146</f>
        <v>1062185.8499999999</v>
      </c>
      <c r="AG28" s="782">
        <f t="shared" si="59"/>
        <v>0.22317829498083774</v>
      </c>
      <c r="AH28" s="1001">
        <f t="shared" si="60"/>
        <v>15465.15000000014</v>
      </c>
      <c r="AI28" s="451">
        <f t="shared" si="61"/>
        <v>1.4559740181061667E-2</v>
      </c>
      <c r="AJ28" s="1049">
        <f>AJ146</f>
        <v>1242995</v>
      </c>
      <c r="AK28" s="1050">
        <f t="shared" si="62"/>
        <v>0.2323355140186916</v>
      </c>
      <c r="AL28" s="585">
        <f>AL146</f>
        <v>1252185</v>
      </c>
      <c r="AM28" s="586">
        <f t="shared" si="63"/>
        <v>0.22360446428571429</v>
      </c>
      <c r="AN28" s="781">
        <f>AN146</f>
        <v>1252185</v>
      </c>
      <c r="AO28" s="782">
        <f t="shared" si="64"/>
        <v>0.22360446428571429</v>
      </c>
      <c r="AP28" s="388">
        <f>AP146</f>
        <v>34213.500000000015</v>
      </c>
      <c r="AQ28" s="451">
        <f t="shared" si="65"/>
        <v>2.7323039327255969E-2</v>
      </c>
      <c r="AR28" s="855">
        <f>AR146</f>
        <v>1026336</v>
      </c>
      <c r="AS28" s="748">
        <f t="shared" si="66"/>
        <v>0.21535073997861046</v>
      </c>
      <c r="AT28" s="1123">
        <f>AT146</f>
        <v>1185834</v>
      </c>
      <c r="AU28" s="1216">
        <f t="shared" si="67"/>
        <v>0.22082467027620914</v>
      </c>
      <c r="AV28" s="1203">
        <f>AV146</f>
        <v>51315</v>
      </c>
      <c r="AW28" s="452">
        <f t="shared" si="68"/>
        <v>4.999824618838275E-2</v>
      </c>
      <c r="AY28" s="2"/>
    </row>
    <row r="29" spans="1:51" ht="18" customHeight="1" x14ac:dyDescent="0.25">
      <c r="A29" s="98">
        <v>25</v>
      </c>
      <c r="B29" s="99"/>
      <c r="C29" s="78" t="s">
        <v>310</v>
      </c>
      <c r="D29" s="56">
        <f>D167+D187</f>
        <v>680787.81</v>
      </c>
      <c r="E29" s="57">
        <f t="shared" si="45"/>
        <v>0.12932815495243266</v>
      </c>
      <c r="F29" s="167">
        <f>F167+F187</f>
        <v>710719</v>
      </c>
      <c r="G29" s="166">
        <f t="shared" si="46"/>
        <v>0.13902603005518835</v>
      </c>
      <c r="H29" s="126">
        <f>H167+H187</f>
        <v>713458</v>
      </c>
      <c r="I29" s="57">
        <f t="shared" si="47"/>
        <v>0.13078971021270208</v>
      </c>
      <c r="J29" s="167">
        <f>J167+J187</f>
        <v>755974</v>
      </c>
      <c r="K29" s="166">
        <f t="shared" si="48"/>
        <v>0.13528353523067263</v>
      </c>
      <c r="L29" s="306">
        <f>L167+L187</f>
        <v>789862</v>
      </c>
      <c r="M29" s="214">
        <f t="shared" si="49"/>
        <v>0.15393007313540574</v>
      </c>
      <c r="N29" s="508">
        <f>N167+N187</f>
        <v>658811</v>
      </c>
      <c r="O29" s="509">
        <f t="shared" si="50"/>
        <v>0.12127235921789838</v>
      </c>
      <c r="P29" s="655">
        <f>P167+P187</f>
        <v>532736</v>
      </c>
      <c r="Q29" s="356">
        <f t="shared" si="51"/>
        <v>9.1727881893740246E-2</v>
      </c>
      <c r="R29" s="508">
        <f>R167+R187</f>
        <v>505965</v>
      </c>
      <c r="S29" s="509">
        <f t="shared" si="52"/>
        <v>9.5655484850885278E-2</v>
      </c>
      <c r="T29" s="355">
        <f>T167+T187</f>
        <v>488165</v>
      </c>
      <c r="U29" s="356">
        <f t="shared" si="53"/>
        <v>0.10042034750153048</v>
      </c>
      <c r="V29" s="655">
        <f>V167+V187</f>
        <v>496526</v>
      </c>
      <c r="W29" s="860">
        <f t="shared" si="54"/>
        <v>9.215868132936901E-2</v>
      </c>
      <c r="X29" s="655">
        <f>X167+X187</f>
        <v>567933</v>
      </c>
      <c r="Y29" s="860">
        <f t="shared" si="55"/>
        <v>0.1055037077410589</v>
      </c>
      <c r="Z29" s="1235">
        <f>Z167+Z187</f>
        <v>500500</v>
      </c>
      <c r="AA29" s="1050">
        <f t="shared" si="56"/>
        <v>0.1016243654822335</v>
      </c>
      <c r="AB29" s="1144">
        <f t="shared" si="57"/>
        <v>-45000</v>
      </c>
      <c r="AC29" s="452">
        <f t="shared" si="4"/>
        <v>-8.2493125572868933E-2</v>
      </c>
      <c r="AD29" s="421">
        <f>AD167+AD187</f>
        <v>453631</v>
      </c>
      <c r="AE29" s="245">
        <f t="shared" si="58"/>
        <v>9.9644787095212475E-2</v>
      </c>
      <c r="AF29" s="781">
        <f>AF167+AF187</f>
        <v>484651</v>
      </c>
      <c r="AG29" s="782">
        <f t="shared" si="59"/>
        <v>0.10183112855509985</v>
      </c>
      <c r="AH29" s="1001">
        <f t="shared" si="60"/>
        <v>-31020</v>
      </c>
      <c r="AI29" s="451">
        <f t="shared" si="61"/>
        <v>-6.4004819963231277E-2</v>
      </c>
      <c r="AJ29" s="1049">
        <f>AJ167+AJ187</f>
        <v>545500</v>
      </c>
      <c r="AK29" s="1050">
        <f t="shared" si="62"/>
        <v>0.10196261682242991</v>
      </c>
      <c r="AL29" s="585">
        <f>AL167+AL187</f>
        <v>567000</v>
      </c>
      <c r="AM29" s="586">
        <f t="shared" si="63"/>
        <v>0.10125000000000001</v>
      </c>
      <c r="AN29" s="781">
        <f>AN167+AN187</f>
        <v>567000</v>
      </c>
      <c r="AO29" s="782">
        <f t="shared" si="64"/>
        <v>0.10125000000000001</v>
      </c>
      <c r="AP29" s="388">
        <f>AP167+AP187</f>
        <v>-50772.199999999939</v>
      </c>
      <c r="AQ29" s="451">
        <f t="shared" si="65"/>
        <v>-8.9545326278659507E-2</v>
      </c>
      <c r="AR29" s="855">
        <f>AR167+AR187</f>
        <v>483447</v>
      </c>
      <c r="AS29" s="748">
        <f t="shared" si="66"/>
        <v>0.10143916728092875</v>
      </c>
      <c r="AT29" s="1123">
        <f>AT167+AT187</f>
        <v>551041</v>
      </c>
      <c r="AU29" s="1216">
        <f t="shared" si="67"/>
        <v>0.1026142336395082</v>
      </c>
      <c r="AV29" s="1203">
        <f>AV167+AV187</f>
        <v>-29816</v>
      </c>
      <c r="AW29" s="452">
        <f t="shared" si="68"/>
        <v>-6.1673771892265333E-2</v>
      </c>
      <c r="AY29" s="2"/>
    </row>
    <row r="30" spans="1:51" ht="18" customHeight="1" x14ac:dyDescent="0.25">
      <c r="A30" s="98">
        <v>26</v>
      </c>
      <c r="B30" s="99"/>
      <c r="C30" s="78" t="s">
        <v>183</v>
      </c>
      <c r="D30" s="56">
        <f>D198</f>
        <v>141017</v>
      </c>
      <c r="E30" s="57">
        <f t="shared" si="45"/>
        <v>2.6788770537661644E-2</v>
      </c>
      <c r="F30" s="167">
        <f>F198</f>
        <v>138229</v>
      </c>
      <c r="G30" s="166">
        <f t="shared" si="46"/>
        <v>2.7039419388673488E-2</v>
      </c>
      <c r="H30" s="126">
        <f>H198</f>
        <v>146946</v>
      </c>
      <c r="I30" s="57">
        <f t="shared" si="47"/>
        <v>2.6937850240540743E-2</v>
      </c>
      <c r="J30" s="167">
        <f>J198</f>
        <v>148123</v>
      </c>
      <c r="K30" s="166">
        <f t="shared" si="48"/>
        <v>2.6507000358442116E-2</v>
      </c>
      <c r="L30" s="306">
        <f>L198</f>
        <v>154765</v>
      </c>
      <c r="M30" s="214">
        <f t="shared" si="49"/>
        <v>3.0160949341531899E-2</v>
      </c>
      <c r="N30" s="508">
        <f>N198</f>
        <v>156537</v>
      </c>
      <c r="O30" s="509">
        <f t="shared" si="50"/>
        <v>2.8814957999930418E-2</v>
      </c>
      <c r="P30" s="655">
        <f>P198</f>
        <v>117350</v>
      </c>
      <c r="Q30" s="356">
        <f t="shared" si="51"/>
        <v>2.0205630819449819E-2</v>
      </c>
      <c r="R30" s="508">
        <f>R198</f>
        <v>117980</v>
      </c>
      <c r="S30" s="509">
        <f t="shared" si="52"/>
        <v>2.2304772272207455E-2</v>
      </c>
      <c r="T30" s="355">
        <f>T198</f>
        <v>123640</v>
      </c>
      <c r="U30" s="356">
        <f t="shared" si="53"/>
        <v>2.5433965493407412E-2</v>
      </c>
      <c r="V30" s="655">
        <f>V198</f>
        <v>99015</v>
      </c>
      <c r="W30" s="860">
        <f t="shared" si="54"/>
        <v>1.8377873126135334E-2</v>
      </c>
      <c r="X30" s="655">
        <f>X198</f>
        <v>96953</v>
      </c>
      <c r="Y30" s="860">
        <f t="shared" si="55"/>
        <v>1.8010752987797651E-2</v>
      </c>
      <c r="Z30" s="1235">
        <f>Z198</f>
        <v>148990</v>
      </c>
      <c r="AA30" s="1050">
        <f t="shared" si="56"/>
        <v>3.0251776649746192E-2</v>
      </c>
      <c r="AB30" s="1144">
        <f t="shared" si="57"/>
        <v>21425</v>
      </c>
      <c r="AC30" s="452">
        <f t="shared" si="4"/>
        <v>0.16795359228628542</v>
      </c>
      <c r="AD30" s="421">
        <f>AD198</f>
        <v>108279</v>
      </c>
      <c r="AE30" s="245">
        <f t="shared" si="58"/>
        <v>2.3784613269116333E-2</v>
      </c>
      <c r="AF30" s="781">
        <f>AF198</f>
        <v>105878.95000000001</v>
      </c>
      <c r="AG30" s="782">
        <f t="shared" si="59"/>
        <v>2.2246468012505887E-2</v>
      </c>
      <c r="AH30" s="1001">
        <f t="shared" si="60"/>
        <v>2400.0499999999884</v>
      </c>
      <c r="AI30" s="451">
        <f t="shared" si="61"/>
        <v>2.266786740896078E-2</v>
      </c>
      <c r="AJ30" s="1049">
        <f>AJ198</f>
        <v>127565</v>
      </c>
      <c r="AK30" s="1050">
        <f t="shared" si="62"/>
        <v>2.3843925233644859E-2</v>
      </c>
      <c r="AL30" s="585">
        <f>AL198</f>
        <v>109575</v>
      </c>
      <c r="AM30" s="586">
        <f t="shared" si="63"/>
        <v>1.9566964285714285E-2</v>
      </c>
      <c r="AN30" s="781">
        <f>AN198</f>
        <v>109575</v>
      </c>
      <c r="AO30" s="782">
        <f t="shared" si="64"/>
        <v>1.9566964285714285E-2</v>
      </c>
      <c r="AP30" s="388">
        <f>AP198</f>
        <v>16479.833333333336</v>
      </c>
      <c r="AQ30" s="451">
        <f t="shared" si="65"/>
        <v>0.15039774887824173</v>
      </c>
      <c r="AR30" s="855">
        <f>AR198</f>
        <v>85034</v>
      </c>
      <c r="AS30" s="748">
        <f t="shared" si="66"/>
        <v>1.7842241549883432E-2</v>
      </c>
      <c r="AT30" s="1123">
        <f>AT198</f>
        <v>101806</v>
      </c>
      <c r="AU30" s="1216">
        <f t="shared" si="67"/>
        <v>1.8958198518628872E-2</v>
      </c>
      <c r="AV30" s="1203">
        <f>AV198</f>
        <v>23245</v>
      </c>
      <c r="AW30" s="452">
        <f t="shared" si="68"/>
        <v>0.27336124373779902</v>
      </c>
      <c r="AY30" s="2"/>
    </row>
    <row r="31" spans="1:51" ht="18" customHeight="1" x14ac:dyDescent="0.25">
      <c r="A31" s="97">
        <v>27</v>
      </c>
      <c r="B31" s="99"/>
      <c r="C31" s="78" t="s">
        <v>311</v>
      </c>
      <c r="D31" s="56">
        <f>D213</f>
        <v>153994</v>
      </c>
      <c r="E31" s="57">
        <f t="shared" si="45"/>
        <v>2.9253990158467896E-2</v>
      </c>
      <c r="F31" s="167">
        <f>F213</f>
        <v>159206</v>
      </c>
      <c r="G31" s="166">
        <f t="shared" si="46"/>
        <v>3.114279784410761E-2</v>
      </c>
      <c r="H31" s="126">
        <f>H213</f>
        <v>182405</v>
      </c>
      <c r="I31" s="57">
        <f t="shared" si="47"/>
        <v>3.3438124026008431E-2</v>
      </c>
      <c r="J31" s="167">
        <f>J213</f>
        <v>186322</v>
      </c>
      <c r="K31" s="166">
        <f t="shared" si="48"/>
        <v>3.3342811857615985E-2</v>
      </c>
      <c r="L31" s="306">
        <f>L213</f>
        <v>178221</v>
      </c>
      <c r="M31" s="214">
        <f t="shared" si="49"/>
        <v>3.4732107082332285E-2</v>
      </c>
      <c r="N31" s="508">
        <f>N213</f>
        <v>239685</v>
      </c>
      <c r="O31" s="509">
        <f t="shared" si="50"/>
        <v>4.412064373415437E-2</v>
      </c>
      <c r="P31" s="655">
        <f>P213</f>
        <v>262626</v>
      </c>
      <c r="Q31" s="356">
        <f t="shared" si="51"/>
        <v>4.5219633571272497E-2</v>
      </c>
      <c r="R31" s="508">
        <f>R213</f>
        <v>304892</v>
      </c>
      <c r="S31" s="509">
        <f t="shared" si="52"/>
        <v>5.7641520830800777E-2</v>
      </c>
      <c r="T31" s="355">
        <f>T213</f>
        <v>231283</v>
      </c>
      <c r="U31" s="356">
        <f t="shared" si="53"/>
        <v>4.7577190563019622E-2</v>
      </c>
      <c r="V31" s="655">
        <f>V213</f>
        <v>343473</v>
      </c>
      <c r="W31" s="860">
        <f t="shared" si="54"/>
        <v>6.3750979308721728E-2</v>
      </c>
      <c r="X31" s="655">
        <f>X213</f>
        <v>437620</v>
      </c>
      <c r="Y31" s="860">
        <f t="shared" si="55"/>
        <v>8.1295738373438758E-2</v>
      </c>
      <c r="Z31" s="1235">
        <f>Z213</f>
        <v>231060</v>
      </c>
      <c r="AA31" s="1050">
        <f t="shared" si="56"/>
        <v>4.6915736040609134E-2</v>
      </c>
      <c r="AB31" s="1144">
        <f t="shared" si="57"/>
        <v>-21005</v>
      </c>
      <c r="AC31" s="452">
        <f t="shared" si="4"/>
        <v>-8.3331680320552243E-2</v>
      </c>
      <c r="AD31" s="421">
        <f>AD213</f>
        <v>217176</v>
      </c>
      <c r="AE31" s="245">
        <f t="shared" si="58"/>
        <v>4.7704976692928537E-2</v>
      </c>
      <c r="AF31" s="781">
        <f>AF213</f>
        <v>213271.84999999998</v>
      </c>
      <c r="AG31" s="782">
        <f t="shared" si="59"/>
        <v>4.4811035517380485E-2</v>
      </c>
      <c r="AH31" s="1001">
        <f t="shared" si="60"/>
        <v>3904.1500000000233</v>
      </c>
      <c r="AI31" s="451">
        <f t="shared" si="61"/>
        <v>1.8305978965344107E-2</v>
      </c>
      <c r="AJ31" s="1049">
        <f>AJ213</f>
        <v>252065</v>
      </c>
      <c r="AK31" s="1050">
        <f t="shared" si="62"/>
        <v>4.7114953271028034E-2</v>
      </c>
      <c r="AL31" s="585">
        <f>AL213</f>
        <v>266830</v>
      </c>
      <c r="AM31" s="586">
        <f t="shared" si="63"/>
        <v>4.7648214285714287E-2</v>
      </c>
      <c r="AN31" s="781">
        <f>AN213</f>
        <v>266830</v>
      </c>
      <c r="AO31" s="782">
        <f t="shared" si="64"/>
        <v>4.7648214285714287E-2</v>
      </c>
      <c r="AP31" s="388">
        <f>AP213</f>
        <v>-4298.9999999999964</v>
      </c>
      <c r="AQ31" s="451">
        <f t="shared" si="65"/>
        <v>-1.6111381778660557E-2</v>
      </c>
      <c r="AR31" s="855">
        <f>AR213</f>
        <v>311093</v>
      </c>
      <c r="AS31" s="748">
        <f t="shared" si="66"/>
        <v>6.5275024701623899E-2</v>
      </c>
      <c r="AT31" s="1123">
        <f>AT213</f>
        <v>384414</v>
      </c>
      <c r="AU31" s="1216">
        <f t="shared" si="67"/>
        <v>7.1585141596175059E-2</v>
      </c>
      <c r="AV31" s="1203">
        <f>AV213</f>
        <v>-93917</v>
      </c>
      <c r="AW31" s="452">
        <f t="shared" si="68"/>
        <v>-0.30189364595153217</v>
      </c>
      <c r="AY31" s="2"/>
    </row>
    <row r="32" spans="1:51" ht="18" customHeight="1" x14ac:dyDescent="0.25">
      <c r="A32" s="97">
        <v>28</v>
      </c>
      <c r="B32" s="99"/>
      <c r="C32" s="78" t="s">
        <v>362</v>
      </c>
      <c r="D32" s="56">
        <f>D225</f>
        <v>4358</v>
      </c>
      <c r="E32" s="57">
        <f t="shared" ref="E32" si="69">D32/D$11</f>
        <v>8.2788218443967355E-4</v>
      </c>
      <c r="F32" s="508">
        <f>F225</f>
        <v>2370</v>
      </c>
      <c r="G32" s="166">
        <f t="shared" ref="G32" si="70">F32/F$11</f>
        <v>4.636033245639928E-4</v>
      </c>
      <c r="H32" s="56">
        <f>H225</f>
        <v>4154</v>
      </c>
      <c r="I32" s="57">
        <f t="shared" ref="I32" si="71">H32/H$11</f>
        <v>7.6150306846873173E-4</v>
      </c>
      <c r="J32" s="508">
        <f>J225</f>
        <v>4349</v>
      </c>
      <c r="K32" s="166">
        <f t="shared" ref="K32" si="72">J32/J$11</f>
        <v>7.7826498625375377E-4</v>
      </c>
      <c r="L32" s="56">
        <f>L225</f>
        <v>2153</v>
      </c>
      <c r="M32" s="214">
        <f t="shared" ref="M32" si="73">L32/L$11</f>
        <v>4.1958145531818033E-4</v>
      </c>
      <c r="N32" s="508">
        <f>N225</f>
        <v>6966</v>
      </c>
      <c r="O32" s="509">
        <f t="shared" si="50"/>
        <v>1.2822846830303077E-3</v>
      </c>
      <c r="P32" s="655">
        <f>P225</f>
        <v>6890</v>
      </c>
      <c r="Q32" s="356">
        <f t="shared" si="51"/>
        <v>1.1863382730806071E-3</v>
      </c>
      <c r="R32" s="508">
        <f>R225</f>
        <v>10878</v>
      </c>
      <c r="S32" s="509">
        <f t="shared" ref="S32" si="74">R32/R$11</f>
        <v>2.0565461330485906E-3</v>
      </c>
      <c r="T32" s="355">
        <f>T225</f>
        <v>118961</v>
      </c>
      <c r="U32" s="356">
        <f t="shared" ref="U32" si="75">T32/T$11</f>
        <v>2.4471449118903584E-2</v>
      </c>
      <c r="V32" s="655">
        <f>V225</f>
        <v>108522</v>
      </c>
      <c r="W32" s="860">
        <f t="shared" ref="W32" si="76">V32/V$11</f>
        <v>2.0142438493101638E-2</v>
      </c>
      <c r="X32" s="655">
        <f>X225</f>
        <v>121363</v>
      </c>
      <c r="Y32" s="860">
        <f t="shared" si="55"/>
        <v>2.2545346867637785E-2</v>
      </c>
      <c r="Z32" s="1235">
        <f>Z225</f>
        <v>98900</v>
      </c>
      <c r="AA32" s="1050">
        <f t="shared" si="56"/>
        <v>2.0081218274111676E-2</v>
      </c>
      <c r="AB32" s="1144">
        <f t="shared" si="57"/>
        <v>-33750</v>
      </c>
      <c r="AC32" s="452">
        <f t="shared" si="4"/>
        <v>-0.2544289483603468</v>
      </c>
      <c r="AD32" s="421">
        <f>AD225</f>
        <v>110440</v>
      </c>
      <c r="AE32" s="245">
        <f t="shared" ref="AE32" si="77">AD32/AD$11</f>
        <v>2.4259299489662888E-2</v>
      </c>
      <c r="AF32" s="781">
        <f>AF225</f>
        <v>111087.2</v>
      </c>
      <c r="AG32" s="782">
        <f t="shared" si="59"/>
        <v>2.3340785315672696E-2</v>
      </c>
      <c r="AH32" s="1001">
        <f t="shared" si="60"/>
        <v>-647.19999999999709</v>
      </c>
      <c r="AI32" s="451">
        <f t="shared" si="61"/>
        <v>-5.8260537667705831E-3</v>
      </c>
      <c r="AJ32" s="1049">
        <f>AJ225</f>
        <v>132650</v>
      </c>
      <c r="AK32" s="1050">
        <f t="shared" si="62"/>
        <v>2.4794392523364486E-2</v>
      </c>
      <c r="AL32" s="585">
        <f>AL225</f>
        <v>132515</v>
      </c>
      <c r="AM32" s="586">
        <f t="shared" ref="AM32" si="78">AL32/AL$11</f>
        <v>2.3663392857142859E-2</v>
      </c>
      <c r="AN32" s="781">
        <f>AN225</f>
        <v>132515</v>
      </c>
      <c r="AO32" s="782">
        <f t="shared" si="64"/>
        <v>2.3663392857142859E-2</v>
      </c>
      <c r="AP32" s="388">
        <f>AP225</f>
        <v>-1072.5000000000036</v>
      </c>
      <c r="AQ32" s="451">
        <f t="shared" ref="AQ32" si="79">AP32/AN32</f>
        <v>-8.0934233860317974E-3</v>
      </c>
      <c r="AR32" s="855">
        <f>AR225</f>
        <v>104482</v>
      </c>
      <c r="AS32" s="748">
        <f t="shared" si="66"/>
        <v>2.1922914147457732E-2</v>
      </c>
      <c r="AT32" s="1123">
        <f>AT225</f>
        <v>125357</v>
      </c>
      <c r="AU32" s="1216">
        <f t="shared" si="67"/>
        <v>2.3343839181381838E-2</v>
      </c>
      <c r="AV32" s="1203">
        <f>AV225</f>
        <v>5958</v>
      </c>
      <c r="AW32" s="452">
        <f t="shared" ref="AW32" si="80">AV32/AR32</f>
        <v>5.7024176413162077E-2</v>
      </c>
      <c r="AY32" s="2"/>
    </row>
    <row r="33" spans="1:51" ht="18" customHeight="1" x14ac:dyDescent="0.25">
      <c r="A33" s="280">
        <v>29</v>
      </c>
      <c r="B33" s="99"/>
      <c r="C33" s="79" t="s">
        <v>25</v>
      </c>
      <c r="D33" s="58">
        <f>D266</f>
        <v>882723</v>
      </c>
      <c r="E33" s="59">
        <f t="shared" si="45"/>
        <v>0.16768945513885772</v>
      </c>
      <c r="F33" s="168">
        <f>F266</f>
        <v>829378</v>
      </c>
      <c r="G33" s="169">
        <f t="shared" si="46"/>
        <v>0.16223729878490939</v>
      </c>
      <c r="H33" s="127">
        <f>H266</f>
        <v>902221</v>
      </c>
      <c r="I33" s="59">
        <f t="shared" si="47"/>
        <v>0.16539337023036293</v>
      </c>
      <c r="J33" s="168">
        <f>J266</f>
        <v>862378</v>
      </c>
      <c r="K33" s="169">
        <f t="shared" si="48"/>
        <v>0.15432481083364905</v>
      </c>
      <c r="L33" s="308">
        <f>L266</f>
        <v>895122</v>
      </c>
      <c r="M33" s="215">
        <f t="shared" si="49"/>
        <v>0.17444337735593135</v>
      </c>
      <c r="N33" s="511">
        <f>N266</f>
        <v>962374</v>
      </c>
      <c r="O33" s="512">
        <f t="shared" si="50"/>
        <v>0.17715151299836485</v>
      </c>
      <c r="P33" s="657">
        <f>P266</f>
        <v>921478</v>
      </c>
      <c r="Q33" s="359">
        <f t="shared" si="51"/>
        <v>0.15866249915845743</v>
      </c>
      <c r="R33" s="511">
        <f>R266</f>
        <v>1155428</v>
      </c>
      <c r="S33" s="512">
        <f t="shared" si="52"/>
        <v>0.21844006117080961</v>
      </c>
      <c r="T33" s="358">
        <f>T266</f>
        <v>909478</v>
      </c>
      <c r="U33" s="359">
        <f t="shared" si="53"/>
        <v>0.18708858030583295</v>
      </c>
      <c r="V33" s="657">
        <f>V266</f>
        <v>911961</v>
      </c>
      <c r="W33" s="861">
        <f t="shared" si="54"/>
        <v>0.16926630868033637</v>
      </c>
      <c r="X33" s="657">
        <f>X266</f>
        <v>892634</v>
      </c>
      <c r="Y33" s="861">
        <f t="shared" si="55"/>
        <v>0.16582272320103317</v>
      </c>
      <c r="Z33" s="1237">
        <f>Z266</f>
        <v>972825</v>
      </c>
      <c r="AA33" s="1053">
        <f t="shared" si="56"/>
        <v>0.19752791878172588</v>
      </c>
      <c r="AB33" s="1144">
        <f t="shared" si="57"/>
        <v>-15910</v>
      </c>
      <c r="AC33" s="482">
        <f t="shared" si="4"/>
        <v>-1.6091268135546937E-2</v>
      </c>
      <c r="AD33" s="425">
        <f>AD266</f>
        <v>824883</v>
      </c>
      <c r="AE33" s="246">
        <f t="shared" si="58"/>
        <v>0.18119416643364356</v>
      </c>
      <c r="AF33" s="784">
        <f>AF266</f>
        <v>832866.15</v>
      </c>
      <c r="AG33" s="785">
        <f t="shared" si="59"/>
        <v>0.1749954090465945</v>
      </c>
      <c r="AH33" s="1001">
        <f t="shared" si="60"/>
        <v>-7983.1500000000233</v>
      </c>
      <c r="AI33" s="451">
        <f t="shared" si="61"/>
        <v>-9.5851536288274215E-3</v>
      </c>
      <c r="AJ33" s="1052">
        <f>AJ266</f>
        <v>988735</v>
      </c>
      <c r="AK33" s="1053">
        <f t="shared" si="62"/>
        <v>0.18481028037383176</v>
      </c>
      <c r="AL33" s="588">
        <f>AL266</f>
        <v>1001080</v>
      </c>
      <c r="AM33" s="589">
        <f t="shared" si="63"/>
        <v>0.17876428571428571</v>
      </c>
      <c r="AN33" s="784">
        <f>AN266</f>
        <v>1001080</v>
      </c>
      <c r="AO33" s="785">
        <f t="shared" si="64"/>
        <v>0.17876428571428571</v>
      </c>
      <c r="AP33" s="460">
        <f>AP266</f>
        <v>33435.333333333292</v>
      </c>
      <c r="AQ33" s="451">
        <f t="shared" si="65"/>
        <v>3.3399262130232643E-2</v>
      </c>
      <c r="AR33" s="851">
        <f>AR266</f>
        <v>821967</v>
      </c>
      <c r="AS33" s="749">
        <f t="shared" si="66"/>
        <v>0.17246905661303755</v>
      </c>
      <c r="AT33" s="1030">
        <f>AT266</f>
        <v>983913</v>
      </c>
      <c r="AU33" s="1217">
        <f t="shared" si="67"/>
        <v>0.18322316935209798</v>
      </c>
      <c r="AV33" s="1204">
        <f>AV266</f>
        <v>2916</v>
      </c>
      <c r="AW33" s="482">
        <f t="shared" si="68"/>
        <v>3.5475876768775389E-3</v>
      </c>
      <c r="AY33" s="2"/>
    </row>
    <row r="34" spans="1:51" s="3" customFormat="1" ht="18" customHeight="1" x14ac:dyDescent="0.25">
      <c r="A34" s="281">
        <v>30</v>
      </c>
      <c r="B34" s="99"/>
      <c r="C34" s="82" t="s">
        <v>184</v>
      </c>
      <c r="D34" s="36">
        <f>SUM(D25:D33)</f>
        <v>4338927.9399999995</v>
      </c>
      <c r="E34" s="38">
        <f>SUM(E25:E33)</f>
        <v>0.82425909616648285</v>
      </c>
      <c r="F34" s="177">
        <f>SUM(F25:F33)</f>
        <v>4350831</v>
      </c>
      <c r="G34" s="178">
        <f>SUM(G25:G33)</f>
        <v>0.85108004903632128</v>
      </c>
      <c r="H34" s="128">
        <f>SUM(H25:H33)</f>
        <v>4523380</v>
      </c>
      <c r="I34" s="33">
        <f t="shared" si="47"/>
        <v>0.82921707988687809</v>
      </c>
      <c r="J34" s="172">
        <f>SUM(J25:J33)</f>
        <v>4616653</v>
      </c>
      <c r="K34" s="170">
        <f t="shared" si="48"/>
        <v>0.82616219443167416</v>
      </c>
      <c r="L34" s="309">
        <f>SUM(L25:L33)</f>
        <v>4763963</v>
      </c>
      <c r="M34" s="216">
        <f t="shared" si="49"/>
        <v>0.92841176433904515</v>
      </c>
      <c r="N34" s="515">
        <f>SUM(N25:N33)</f>
        <v>4730283</v>
      </c>
      <c r="O34" s="513">
        <f t="shared" si="50"/>
        <v>0.87073922441841134</v>
      </c>
      <c r="P34" s="658">
        <f>SUM(P25:P33)</f>
        <v>4571562</v>
      </c>
      <c r="Q34" s="360">
        <f t="shared" si="51"/>
        <v>0.787143536772268</v>
      </c>
      <c r="R34" s="515">
        <f>SUM(R25:R33)</f>
        <v>5023898</v>
      </c>
      <c r="S34" s="513">
        <f t="shared" si="52"/>
        <v>0.94979573494489311</v>
      </c>
      <c r="T34" s="362">
        <f>SUM(T25:T33)</f>
        <v>4829345</v>
      </c>
      <c r="U34" s="360">
        <f t="shared" si="53"/>
        <v>0.99344382146360088</v>
      </c>
      <c r="V34" s="658">
        <f>SUM(V25:V33)</f>
        <v>4724365</v>
      </c>
      <c r="W34" s="862">
        <f t="shared" si="54"/>
        <v>0.87687502470892653</v>
      </c>
      <c r="X34" s="658">
        <f>SUM(X25:X33)</f>
        <v>4799363</v>
      </c>
      <c r="Y34" s="862">
        <f t="shared" si="55"/>
        <v>0.8915674759086929</v>
      </c>
      <c r="Z34" s="1238">
        <f>SUM(Z25:Z33)</f>
        <v>4853885</v>
      </c>
      <c r="AA34" s="1054">
        <f t="shared" si="56"/>
        <v>0.98556040609137052</v>
      </c>
      <c r="AB34" s="1150">
        <f>SUM(AB25:AB33)</f>
        <v>-161895</v>
      </c>
      <c r="AC34" s="454">
        <f t="shared" si="4"/>
        <v>-3.2277133367093452E-2</v>
      </c>
      <c r="AD34" s="423">
        <f>SUM(AD25:AD33)</f>
        <v>4222900</v>
      </c>
      <c r="AE34" s="247">
        <f t="shared" si="58"/>
        <v>0.92760409104398234</v>
      </c>
      <c r="AF34" s="788">
        <f>SUM(AF25:AF33)</f>
        <v>4244397.1000000006</v>
      </c>
      <c r="AG34" s="786">
        <f t="shared" si="59"/>
        <v>0.89179996890338209</v>
      </c>
      <c r="AH34" s="461">
        <f>SUM(AH25:AH33)</f>
        <v>-21497.099999999846</v>
      </c>
      <c r="AI34" s="454">
        <f>AH34/AF34</f>
        <v>-5.0648182753682122E-3</v>
      </c>
      <c r="AJ34" s="1056">
        <f>SUM(AJ25:AJ33)</f>
        <v>5015780</v>
      </c>
      <c r="AK34" s="1054">
        <f t="shared" si="62"/>
        <v>0.93752897196261686</v>
      </c>
      <c r="AL34" s="592">
        <f>SUM(AL25:AL33)</f>
        <v>5072620</v>
      </c>
      <c r="AM34" s="590">
        <f t="shared" si="63"/>
        <v>0.90582499999999999</v>
      </c>
      <c r="AN34" s="788">
        <f>SUM(AN25:AN33)</f>
        <v>5072620</v>
      </c>
      <c r="AO34" s="786">
        <f t="shared" si="64"/>
        <v>0.90582499999999999</v>
      </c>
      <c r="AP34" s="461">
        <f>SUM(AP25:AP33)</f>
        <v>7512.4666666667035</v>
      </c>
      <c r="AQ34" s="454">
        <f>AP34/AN34</f>
        <v>1.4809835285644704E-3</v>
      </c>
      <c r="AR34" s="728">
        <f>SUM(AR25:AR33)</f>
        <v>4160276</v>
      </c>
      <c r="AS34" s="750">
        <f t="shared" si="66"/>
        <v>0.87292905550935918</v>
      </c>
      <c r="AT34" s="728">
        <f>SUM(AT25:AT33)</f>
        <v>4934827</v>
      </c>
      <c r="AU34" s="1218">
        <f t="shared" si="67"/>
        <v>0.91895791919032033</v>
      </c>
      <c r="AV34" s="1205">
        <f>SUM(AV25:AV33)</f>
        <v>62624</v>
      </c>
      <c r="AW34" s="455">
        <f t="shared" si="68"/>
        <v>1.5052847455313061E-2</v>
      </c>
    </row>
    <row r="35" spans="1:51" s="3" customFormat="1" ht="15" customHeight="1" x14ac:dyDescent="0.25">
      <c r="A35" s="282">
        <v>31</v>
      </c>
      <c r="B35" s="99"/>
      <c r="C35" s="81"/>
      <c r="D35" s="37"/>
      <c r="E35" s="30"/>
      <c r="F35" s="173"/>
      <c r="G35" s="162"/>
      <c r="H35" s="129"/>
      <c r="I35" s="30"/>
      <c r="J35" s="173"/>
      <c r="K35" s="162"/>
      <c r="L35" s="310"/>
      <c r="M35" s="212"/>
      <c r="N35" s="516"/>
      <c r="O35" s="507"/>
      <c r="P35" s="659"/>
      <c r="Q35" s="354"/>
      <c r="R35" s="516"/>
      <c r="S35" s="507"/>
      <c r="T35" s="363"/>
      <c r="U35" s="354"/>
      <c r="V35" s="659"/>
      <c r="W35" s="859"/>
      <c r="X35" s="659"/>
      <c r="Y35" s="859"/>
      <c r="Z35" s="1239"/>
      <c r="AA35" s="1048"/>
      <c r="AB35" s="1149"/>
      <c r="AC35" s="459"/>
      <c r="AD35" s="428"/>
      <c r="AE35" s="244"/>
      <c r="AF35" s="789"/>
      <c r="AG35" s="780"/>
      <c r="AH35" s="462"/>
      <c r="AI35" s="458"/>
      <c r="AJ35" s="1057"/>
      <c r="AK35" s="1048"/>
      <c r="AL35" s="593"/>
      <c r="AM35" s="584"/>
      <c r="AN35" s="789"/>
      <c r="AO35" s="780"/>
      <c r="AP35" s="462"/>
      <c r="AQ35" s="458"/>
      <c r="AR35" s="731"/>
      <c r="AS35" s="747"/>
      <c r="AT35" s="731"/>
      <c r="AU35" s="1215"/>
      <c r="AV35" s="1206"/>
      <c r="AW35" s="459"/>
    </row>
    <row r="36" spans="1:51" ht="18" customHeight="1" x14ac:dyDescent="0.25">
      <c r="A36" s="281">
        <v>32</v>
      </c>
      <c r="B36" s="99"/>
      <c r="C36" s="80" t="s">
        <v>325</v>
      </c>
      <c r="D36" s="71">
        <f>SUM(D23-D34)</f>
        <v>-1256602.4599999995</v>
      </c>
      <c r="E36" s="33">
        <f>SUM(E23-E34)</f>
        <v>-0.23871472913195657</v>
      </c>
      <c r="F36" s="174">
        <f>SUM(F23-F34)</f>
        <v>-1331336</v>
      </c>
      <c r="G36" s="170">
        <f>SUM(G23-G34)</f>
        <v>-0.26042691802182616</v>
      </c>
      <c r="H36" s="130">
        <f>SUM(H23-H34)</f>
        <v>-1325198</v>
      </c>
      <c r="I36" s="33">
        <f>H36/H$11</f>
        <v>-0.24293267773919749</v>
      </c>
      <c r="J36" s="174">
        <f>SUM(J23-J34)</f>
        <v>-1474303</v>
      </c>
      <c r="K36" s="170">
        <f>J36/J$11</f>
        <v>-0.2638303987189855</v>
      </c>
      <c r="L36" s="311">
        <f>SUM(L23-L34)</f>
        <v>-1756095</v>
      </c>
      <c r="M36" s="216">
        <f>L36/L$11</f>
        <v>-0.34223172121550388</v>
      </c>
      <c r="N36" s="517">
        <f>SUM(N23-N34)</f>
        <v>-1503588</v>
      </c>
      <c r="O36" s="513">
        <f>N36/N$11</f>
        <v>-0.27677689663912924</v>
      </c>
      <c r="P36" s="660">
        <f>SUM(P23-P34)</f>
        <v>-1090718</v>
      </c>
      <c r="Q36" s="360">
        <f>P36/P$11</f>
        <v>-0.18780268628997585</v>
      </c>
      <c r="R36" s="517">
        <f>SUM(R23-R34)</f>
        <v>-1881031</v>
      </c>
      <c r="S36" s="513">
        <f>R36/R$11</f>
        <v>-0.35561932608885116</v>
      </c>
      <c r="T36" s="364">
        <f>SUM(T23-T34)</f>
        <v>-1994907</v>
      </c>
      <c r="U36" s="360">
        <f>T36/T$11</f>
        <v>-0.41037201391585976</v>
      </c>
      <c r="V36" s="660">
        <f>SUM(V23-V34)</f>
        <v>-1523081</v>
      </c>
      <c r="W36" s="862">
        <f>V36/V$11</f>
        <v>-0.28269443396280697</v>
      </c>
      <c r="X36" s="660">
        <f>SUM(X23-X34)</f>
        <v>-1552767</v>
      </c>
      <c r="Y36" s="862">
        <f>X36/X$11</f>
        <v>-0.28845422921006669</v>
      </c>
      <c r="Z36" s="1240">
        <f>SUM(Z23-Z34)</f>
        <v>-1647580</v>
      </c>
      <c r="AA36" s="1054">
        <f>Z36/Z$11</f>
        <v>-0.33453401015228429</v>
      </c>
      <c r="AB36" s="1150">
        <f>AB23-AB34</f>
        <v>-30800</v>
      </c>
      <c r="AC36" s="454">
        <f t="shared" si="4"/>
        <v>1.9050210913049394E-2</v>
      </c>
      <c r="AD36" s="423">
        <f>SUM(AD23-AD34)</f>
        <v>-1498488</v>
      </c>
      <c r="AE36" s="247">
        <f>AD36/AD$11</f>
        <v>-0.3291585401454723</v>
      </c>
      <c r="AF36" s="790">
        <f>SUM(AF23-AF34)</f>
        <v>-1260261.1000000006</v>
      </c>
      <c r="AG36" s="786">
        <f>AF36/AF$11</f>
        <v>-0.26479633816311449</v>
      </c>
      <c r="AH36" s="461">
        <f>SUM(AH23-AH34)</f>
        <v>-238226.90000000014</v>
      </c>
      <c r="AI36" s="454">
        <f>AH36/AF36</f>
        <v>0.18902979707935127</v>
      </c>
      <c r="AJ36" s="1058">
        <f>SUM(AJ23-AJ34)</f>
        <v>-1616780</v>
      </c>
      <c r="AK36" s="1054">
        <f>AJ36/AJ$11</f>
        <v>-0.30220186915887848</v>
      </c>
      <c r="AL36" s="594">
        <f>SUM(AL23-AL34)</f>
        <v>-1595250</v>
      </c>
      <c r="AM36" s="590">
        <f>AL36/AL$11</f>
        <v>-0.28486607142857145</v>
      </c>
      <c r="AN36" s="790">
        <f>SUM(AN23-AN34)</f>
        <v>-1595250</v>
      </c>
      <c r="AO36" s="786">
        <f>AN36/AN$11</f>
        <v>-0.28486607142857145</v>
      </c>
      <c r="AP36" s="461">
        <f>SUM(AP23-AP34)</f>
        <v>-347657.61333333352</v>
      </c>
      <c r="AQ36" s="454">
        <f>AP36/AN36</f>
        <v>0.21793299691793355</v>
      </c>
      <c r="AR36" s="728">
        <f>SUM(AR23-AR34)</f>
        <v>-1161627</v>
      </c>
      <c r="AS36" s="750">
        <f>AR36/AR$11</f>
        <v>-0.24373814621053275</v>
      </c>
      <c r="AT36" s="728">
        <f>SUM(AT23-AT34)</f>
        <v>-1606498</v>
      </c>
      <c r="AU36" s="1218">
        <f>AT36/AT$11</f>
        <v>-0.29916024599513036</v>
      </c>
      <c r="AV36" s="1205">
        <f>SUM(AV23-AV34)</f>
        <v>-336861</v>
      </c>
      <c r="AW36" s="455">
        <f>AV36/AR36</f>
        <v>0.28999067686959756</v>
      </c>
      <c r="AY36" s="2"/>
    </row>
    <row r="37" spans="1:51" ht="15" customHeight="1" x14ac:dyDescent="0.25">
      <c r="A37" s="97">
        <v>33</v>
      </c>
      <c r="B37" s="99"/>
      <c r="C37" s="76" t="s">
        <v>172</v>
      </c>
      <c r="D37" s="29"/>
      <c r="E37" s="32"/>
      <c r="F37" s="161"/>
      <c r="G37" s="171"/>
      <c r="H37" s="123"/>
      <c r="I37" s="32"/>
      <c r="J37" s="161"/>
      <c r="K37" s="171"/>
      <c r="L37" s="305"/>
      <c r="M37" s="217"/>
      <c r="N37" s="506"/>
      <c r="O37" s="514"/>
      <c r="P37" s="654"/>
      <c r="Q37" s="361"/>
      <c r="R37" s="506"/>
      <c r="S37" s="514"/>
      <c r="T37" s="353"/>
      <c r="U37" s="361"/>
      <c r="V37" s="654"/>
      <c r="W37" s="863"/>
      <c r="X37" s="654"/>
      <c r="Y37" s="863"/>
      <c r="Z37" s="1234"/>
      <c r="AA37" s="1055"/>
      <c r="AB37" s="1151"/>
      <c r="AC37" s="464"/>
      <c r="AD37" s="694"/>
      <c r="AE37" s="248"/>
      <c r="AF37" s="779"/>
      <c r="AG37" s="787"/>
      <c r="AH37" s="457"/>
      <c r="AI37" s="458"/>
      <c r="AJ37" s="1047"/>
      <c r="AK37" s="1055"/>
      <c r="AL37" s="583"/>
      <c r="AM37" s="591"/>
      <c r="AN37" s="779"/>
      <c r="AO37" s="787"/>
      <c r="AP37" s="457"/>
      <c r="AQ37" s="458"/>
      <c r="AR37" s="694"/>
      <c r="AS37" s="751"/>
      <c r="AT37" s="694"/>
      <c r="AU37" s="1219"/>
      <c r="AV37" s="1202"/>
      <c r="AW37" s="464"/>
      <c r="AY37" s="2"/>
    </row>
    <row r="38" spans="1:51" ht="18" customHeight="1" x14ac:dyDescent="0.25">
      <c r="A38" s="97">
        <v>34</v>
      </c>
      <c r="B38" s="99"/>
      <c r="C38" s="78" t="s">
        <v>179</v>
      </c>
      <c r="D38" s="56">
        <v>66766</v>
      </c>
      <c r="E38" s="57">
        <f t="shared" ref="E38:E43" si="81">D38/D$11</f>
        <v>1.2683428620077845E-2</v>
      </c>
      <c r="F38" s="167">
        <v>66750</v>
      </c>
      <c r="G38" s="166">
        <f t="shared" ref="G38:G43" si="82">F38/F$11</f>
        <v>1.3057182242466886E-2</v>
      </c>
      <c r="H38" s="126">
        <v>59427</v>
      </c>
      <c r="I38" s="57">
        <f t="shared" ref="I38:I44" si="83">H38/H$11</f>
        <v>1.0894040166078795E-2</v>
      </c>
      <c r="J38" s="167">
        <v>78761</v>
      </c>
      <c r="K38" s="166">
        <f t="shared" ref="K38:K44" si="84">J38/J$11</f>
        <v>1.4094488062159554E-2</v>
      </c>
      <c r="L38" s="306">
        <v>82116</v>
      </c>
      <c r="M38" s="214">
        <f t="shared" ref="M38:M44" si="85">L38/L$11</f>
        <v>1.6002949737532603E-2</v>
      </c>
      <c r="N38" s="508">
        <v>94285</v>
      </c>
      <c r="O38" s="509">
        <f t="shared" ref="O38:O44" si="86">N38/N$11</f>
        <v>1.7355758159562529E-2</v>
      </c>
      <c r="P38" s="655">
        <v>152670</v>
      </c>
      <c r="Q38" s="356">
        <f t="shared" ref="Q38:Q44" si="87">P38/P$11</f>
        <v>2.6287121066939954E-2</v>
      </c>
      <c r="R38" s="508">
        <f>10786+60180+17008+21942+9927+15577+30113+3136</f>
        <v>168669</v>
      </c>
      <c r="S38" s="509">
        <f t="shared" ref="S38:S44" si="88">R38/R$11</f>
        <v>3.188780839448177E-2</v>
      </c>
      <c r="T38" s="355">
        <v>147423</v>
      </c>
      <c r="U38" s="356">
        <f t="shared" ref="U38:U44" si="89">T38/T$11</f>
        <v>3.0326362786594958E-2</v>
      </c>
      <c r="V38" s="656">
        <v>136234</v>
      </c>
      <c r="W38" s="860">
        <f t="shared" ref="W38:W44" si="90">V38/V$11</f>
        <v>2.5285978563509785E-2</v>
      </c>
      <c r="X38" s="656">
        <v>139904</v>
      </c>
      <c r="Y38" s="860">
        <f t="shared" ref="Y38:Y44" si="91">X38/X$11</f>
        <v>2.5989669076819103E-2</v>
      </c>
      <c r="Z38" s="1235">
        <v>145000</v>
      </c>
      <c r="AA38" s="1050">
        <f t="shared" ref="AA38:AA44" si="92">Z38/Z$11</f>
        <v>2.9441624365482234E-2</v>
      </c>
      <c r="AB38" s="1170">
        <f t="shared" ref="AB38:AB43" si="93">Z38-AJ38</f>
        <v>0</v>
      </c>
      <c r="AC38" s="452">
        <f t="shared" si="4"/>
        <v>0</v>
      </c>
      <c r="AD38" s="421">
        <v>119778</v>
      </c>
      <c r="AE38" s="245">
        <f t="shared" ref="AE38:AE44" si="94">AD38/AD$11</f>
        <v>2.6310488720326344E-2</v>
      </c>
      <c r="AF38" s="781">
        <f>AJ38*$AX$3</f>
        <v>120350</v>
      </c>
      <c r="AG38" s="782">
        <f t="shared" ref="AG38:AG44" si="95">AF38/AF$11</f>
        <v>2.5287013379950245E-2</v>
      </c>
      <c r="AH38" s="1001">
        <f t="shared" ref="AH38:AH43" si="96">AD38-AF38</f>
        <v>-572</v>
      </c>
      <c r="AI38" s="451">
        <f t="shared" ref="AI38:AI43" si="97">AH38/AF38</f>
        <v>-4.7528043207312005E-3</v>
      </c>
      <c r="AJ38" s="1049">
        <v>145000</v>
      </c>
      <c r="AK38" s="1050">
        <f t="shared" ref="AK38:AK44" si="98">AJ38/AJ$11</f>
        <v>2.7102803738317756E-2</v>
      </c>
      <c r="AL38" s="585">
        <v>145000</v>
      </c>
      <c r="AM38" s="586">
        <f t="shared" ref="AM38:AM44" si="99">AL38/AL$11</f>
        <v>2.5892857142857145E-2</v>
      </c>
      <c r="AN38" s="781">
        <v>145000</v>
      </c>
      <c r="AO38" s="782">
        <f t="shared" ref="AO38:AO44" si="100">AN38/AN$11</f>
        <v>2.5892857142857145E-2</v>
      </c>
      <c r="AP38" s="450">
        <f t="shared" ref="AP38:AP43" si="101">$AD38-(AL38/12*$AX$1)</f>
        <v>-1055.333333333343</v>
      </c>
      <c r="AQ38" s="451">
        <f t="shared" ref="AQ38:AQ43" si="102">AP38/AN38</f>
        <v>-7.2781609195402969E-3</v>
      </c>
      <c r="AR38" s="855">
        <v>157484</v>
      </c>
      <c r="AS38" s="748">
        <f t="shared" ref="AS38:AS44" si="103">AR38/AR$11</f>
        <v>3.3044047889571729E-2</v>
      </c>
      <c r="AT38" s="1123">
        <f>228393</f>
        <v>228393</v>
      </c>
      <c r="AU38" s="1216">
        <f t="shared" ref="AU38:AU44" si="104">AT38/AT$11</f>
        <v>4.2531086913003197E-2</v>
      </c>
      <c r="AV38" s="1198">
        <f t="shared" ref="AV38:AV43" si="105">AD38-AR38</f>
        <v>-37706</v>
      </c>
      <c r="AW38" s="452">
        <f>AV38/AR38</f>
        <v>-0.23942749739656091</v>
      </c>
      <c r="AY38" s="2"/>
    </row>
    <row r="39" spans="1:51" ht="18" customHeight="1" x14ac:dyDescent="0.25">
      <c r="A39" s="98">
        <v>35</v>
      </c>
      <c r="B39" s="99" t="s">
        <v>15</v>
      </c>
      <c r="C39" s="78" t="s">
        <v>17</v>
      </c>
      <c r="D39" s="56">
        <f>D297</f>
        <v>34360</v>
      </c>
      <c r="E39" s="57">
        <f t="shared" si="81"/>
        <v>6.5273134138015563E-3</v>
      </c>
      <c r="F39" s="167">
        <f>F297</f>
        <v>44530</v>
      </c>
      <c r="G39" s="166">
        <f t="shared" si="82"/>
        <v>8.7106565581580586E-3</v>
      </c>
      <c r="H39" s="126">
        <f>H297</f>
        <v>51600</v>
      </c>
      <c r="I39" s="57">
        <f t="shared" si="83"/>
        <v>9.4592099983116414E-3</v>
      </c>
      <c r="J39" s="167">
        <f>J297</f>
        <v>55154</v>
      </c>
      <c r="K39" s="166">
        <f t="shared" si="84"/>
        <v>9.8699533345227713E-3</v>
      </c>
      <c r="L39" s="306">
        <f>L297</f>
        <v>67280</v>
      </c>
      <c r="M39" s="214">
        <f t="shared" si="85"/>
        <v>1.3111676875897432E-2</v>
      </c>
      <c r="N39" s="508">
        <f>N297</f>
        <v>56994</v>
      </c>
      <c r="O39" s="509">
        <f t="shared" si="86"/>
        <v>1.0491319727911192E-2</v>
      </c>
      <c r="P39" s="655">
        <f>P297</f>
        <v>41008</v>
      </c>
      <c r="Q39" s="356">
        <f t="shared" si="87"/>
        <v>7.0608650076182198E-3</v>
      </c>
      <c r="R39" s="508">
        <f>R297</f>
        <v>82261</v>
      </c>
      <c r="S39" s="509">
        <f t="shared" si="88"/>
        <v>1.5551897540973534E-2</v>
      </c>
      <c r="T39" s="355">
        <f>T297</f>
        <v>90197</v>
      </c>
      <c r="U39" s="356">
        <f t="shared" si="89"/>
        <v>1.8554411077392981E-2</v>
      </c>
      <c r="V39" s="656">
        <f>V297</f>
        <v>86860</v>
      </c>
      <c r="W39" s="860">
        <f t="shared" si="90"/>
        <v>1.6121820529577491E-2</v>
      </c>
      <c r="X39" s="656">
        <f>X297</f>
        <v>130379</v>
      </c>
      <c r="Y39" s="860">
        <f t="shared" si="91"/>
        <v>2.4220230047508277E-2</v>
      </c>
      <c r="Z39" s="1235">
        <f>Z297</f>
        <v>121895</v>
      </c>
      <c r="AA39" s="1050">
        <f t="shared" si="92"/>
        <v>2.47502538071066E-2</v>
      </c>
      <c r="AB39" s="1144">
        <f t="shared" si="93"/>
        <v>175</v>
      </c>
      <c r="AC39" s="452">
        <f t="shared" si="4"/>
        <v>1.4377259283601708E-3</v>
      </c>
      <c r="AD39" s="421">
        <f>AD297</f>
        <v>107258</v>
      </c>
      <c r="AE39" s="245">
        <f t="shared" si="94"/>
        <v>2.3560339955290312E-2</v>
      </c>
      <c r="AF39" s="781">
        <f t="shared" ref="AF39:AF43" si="106">AJ39*$AX$3</f>
        <v>101027.59999999999</v>
      </c>
      <c r="AG39" s="782">
        <f t="shared" si="95"/>
        <v>2.1227139783500302E-2</v>
      </c>
      <c r="AH39" s="1001">
        <f t="shared" si="96"/>
        <v>6230.4000000000087</v>
      </c>
      <c r="AI39" s="451">
        <f t="shared" si="97"/>
        <v>6.1670276241344038E-2</v>
      </c>
      <c r="AJ39" s="1049">
        <f>AJ297</f>
        <v>121720</v>
      </c>
      <c r="AK39" s="1050">
        <f t="shared" si="98"/>
        <v>2.2751401869158878E-2</v>
      </c>
      <c r="AL39" s="585">
        <f>AL297</f>
        <v>116685</v>
      </c>
      <c r="AM39" s="586">
        <f t="shared" si="99"/>
        <v>2.0836607142857143E-2</v>
      </c>
      <c r="AN39" s="781">
        <f>AN297</f>
        <v>116685</v>
      </c>
      <c r="AO39" s="782">
        <f t="shared" si="100"/>
        <v>2.0836607142857143E-2</v>
      </c>
      <c r="AP39" s="450">
        <f t="shared" si="101"/>
        <v>10020.5</v>
      </c>
      <c r="AQ39" s="451">
        <f t="shared" si="102"/>
        <v>8.5876505120623906E-2</v>
      </c>
      <c r="AR39" s="855">
        <f>AR297</f>
        <v>92642</v>
      </c>
      <c r="AS39" s="748">
        <f t="shared" si="103"/>
        <v>1.9438588584146353E-2</v>
      </c>
      <c r="AT39" s="1123">
        <f>AT297</f>
        <v>104534</v>
      </c>
      <c r="AU39" s="1216">
        <f t="shared" si="104"/>
        <v>1.9466203602404086E-2</v>
      </c>
      <c r="AV39" s="1198">
        <f t="shared" si="105"/>
        <v>14616</v>
      </c>
      <c r="AW39" s="452">
        <f>AV39/AR39</f>
        <v>0.15776861466721356</v>
      </c>
      <c r="AX39" s="266"/>
      <c r="AY39" s="2"/>
    </row>
    <row r="40" spans="1:51" ht="18" customHeight="1" x14ac:dyDescent="0.25">
      <c r="A40" s="98">
        <v>36</v>
      </c>
      <c r="B40" s="99" t="s">
        <v>14</v>
      </c>
      <c r="C40" s="83" t="s">
        <v>11</v>
      </c>
      <c r="D40" s="60">
        <v>9970</v>
      </c>
      <c r="E40" s="61">
        <f t="shared" si="81"/>
        <v>1.893984712910405E-3</v>
      </c>
      <c r="F40" s="175">
        <v>10294</v>
      </c>
      <c r="G40" s="176">
        <f t="shared" si="82"/>
        <v>2.0136424569880767E-3</v>
      </c>
      <c r="H40" s="131">
        <v>13331</v>
      </c>
      <c r="I40" s="61">
        <f t="shared" si="83"/>
        <v>2.4438125675870638E-3</v>
      </c>
      <c r="J40" s="175">
        <v>14572</v>
      </c>
      <c r="K40" s="176">
        <f t="shared" si="84"/>
        <v>2.6076977189445159E-3</v>
      </c>
      <c r="L40" s="312">
        <v>15224</v>
      </c>
      <c r="M40" s="218">
        <f t="shared" si="85"/>
        <v>2.9668871694212623E-3</v>
      </c>
      <c r="N40" s="518">
        <v>16041</v>
      </c>
      <c r="O40" s="519">
        <f t="shared" si="86"/>
        <v>2.9527890612243996E-3</v>
      </c>
      <c r="P40" s="703">
        <v>13750</v>
      </c>
      <c r="Q40" s="366">
        <f t="shared" si="87"/>
        <v>2.3675110674685556E-3</v>
      </c>
      <c r="R40" s="518">
        <v>14324</v>
      </c>
      <c r="S40" s="519">
        <f t="shared" si="88"/>
        <v>2.7080315140455974E-3</v>
      </c>
      <c r="T40" s="365">
        <v>17350</v>
      </c>
      <c r="U40" s="366">
        <f t="shared" si="89"/>
        <v>3.569065846899212E-3</v>
      </c>
      <c r="V40" s="661">
        <v>14776</v>
      </c>
      <c r="W40" s="864">
        <f t="shared" si="90"/>
        <v>2.7425284382343656E-3</v>
      </c>
      <c r="X40" s="661">
        <v>17232</v>
      </c>
      <c r="Y40" s="864">
        <f t="shared" si="91"/>
        <v>3.2011520580665798E-3</v>
      </c>
      <c r="Z40" s="1241">
        <v>22500</v>
      </c>
      <c r="AA40" s="1060">
        <f t="shared" si="92"/>
        <v>4.5685279187817262E-3</v>
      </c>
      <c r="AB40" s="1144">
        <f t="shared" si="93"/>
        <v>2500</v>
      </c>
      <c r="AC40" s="452">
        <f t="shared" si="4"/>
        <v>0.125</v>
      </c>
      <c r="AD40" s="424">
        <v>19824</v>
      </c>
      <c r="AE40" s="249">
        <f t="shared" si="94"/>
        <v>4.3545486516033786E-3</v>
      </c>
      <c r="AF40" s="781">
        <f t="shared" si="106"/>
        <v>16600</v>
      </c>
      <c r="AG40" s="792">
        <f t="shared" si="95"/>
        <v>3.487863914475896E-3</v>
      </c>
      <c r="AH40" s="1001">
        <f t="shared" si="96"/>
        <v>3224</v>
      </c>
      <c r="AI40" s="451">
        <f t="shared" si="97"/>
        <v>0.19421686746987951</v>
      </c>
      <c r="AJ40" s="1059">
        <v>20000</v>
      </c>
      <c r="AK40" s="1060">
        <f t="shared" si="98"/>
        <v>3.7383177570093459E-3</v>
      </c>
      <c r="AL40" s="595">
        <v>17000</v>
      </c>
      <c r="AM40" s="596">
        <f t="shared" si="99"/>
        <v>3.0357142857142857E-3</v>
      </c>
      <c r="AN40" s="791">
        <v>17000</v>
      </c>
      <c r="AO40" s="792">
        <f t="shared" si="100"/>
        <v>3.0357142857142857E-3</v>
      </c>
      <c r="AP40" s="450">
        <f t="shared" si="101"/>
        <v>5657.3333333333321</v>
      </c>
      <c r="AQ40" s="451">
        <f t="shared" si="102"/>
        <v>0.33278431372549011</v>
      </c>
      <c r="AR40" s="729">
        <v>19608</v>
      </c>
      <c r="AS40" s="752">
        <f t="shared" si="103"/>
        <v>4.1142445646460751E-3</v>
      </c>
      <c r="AT40" s="729">
        <v>23496</v>
      </c>
      <c r="AU40" s="1220">
        <f t="shared" si="104"/>
        <v>4.3753986247736278E-3</v>
      </c>
      <c r="AV40" s="1198">
        <f t="shared" si="105"/>
        <v>216</v>
      </c>
      <c r="AW40" s="452">
        <f>AV40/AR40</f>
        <v>1.1015911872705019E-2</v>
      </c>
    </row>
    <row r="41" spans="1:51" ht="18" customHeight="1" x14ac:dyDescent="0.25">
      <c r="A41" s="98">
        <v>37</v>
      </c>
      <c r="B41" s="99" t="s">
        <v>299</v>
      </c>
      <c r="C41" s="83" t="s">
        <v>251</v>
      </c>
      <c r="D41" s="60">
        <v>0</v>
      </c>
      <c r="E41" s="61">
        <f t="shared" si="81"/>
        <v>0</v>
      </c>
      <c r="F41" s="175">
        <v>0</v>
      </c>
      <c r="G41" s="176">
        <f t="shared" si="82"/>
        <v>0</v>
      </c>
      <c r="H41" s="131">
        <v>0</v>
      </c>
      <c r="I41" s="61">
        <f t="shared" si="83"/>
        <v>0</v>
      </c>
      <c r="J41" s="175">
        <v>7962</v>
      </c>
      <c r="K41" s="176">
        <f t="shared" si="84"/>
        <v>1.4248208371010318E-3</v>
      </c>
      <c r="L41" s="312">
        <v>15570</v>
      </c>
      <c r="M41" s="218">
        <f t="shared" si="85"/>
        <v>3.0343164232717454E-3</v>
      </c>
      <c r="N41" s="518">
        <v>17762</v>
      </c>
      <c r="O41" s="519">
        <f t="shared" si="86"/>
        <v>3.2695866408246235E-3</v>
      </c>
      <c r="P41" s="703">
        <v>24235</v>
      </c>
      <c r="Q41" s="366">
        <f t="shared" si="87"/>
        <v>4.1728458705527598E-3</v>
      </c>
      <c r="R41" s="518">
        <v>17597</v>
      </c>
      <c r="S41" s="519">
        <f t="shared" si="88"/>
        <v>3.3268102871167539E-3</v>
      </c>
      <c r="T41" s="365">
        <v>24127</v>
      </c>
      <c r="U41" s="366">
        <f t="shared" si="89"/>
        <v>4.9631614805842814E-3</v>
      </c>
      <c r="V41" s="661">
        <v>29422</v>
      </c>
      <c r="W41" s="864">
        <f t="shared" si="90"/>
        <v>5.4609279716927115E-3</v>
      </c>
      <c r="X41" s="661">
        <v>18288</v>
      </c>
      <c r="Y41" s="864">
        <f t="shared" si="91"/>
        <v>3.3973229362767882E-3</v>
      </c>
      <c r="Z41" s="1241">
        <v>35000</v>
      </c>
      <c r="AA41" s="1060">
        <f t="shared" si="92"/>
        <v>7.1065989847715737E-3</v>
      </c>
      <c r="AB41" s="1144">
        <f t="shared" si="93"/>
        <v>0</v>
      </c>
      <c r="AC41" s="452">
        <f t="shared" si="4"/>
        <v>0</v>
      </c>
      <c r="AD41" s="424">
        <v>25494</v>
      </c>
      <c r="AE41" s="249">
        <f t="shared" si="94"/>
        <v>5.6000233718712942E-3</v>
      </c>
      <c r="AF41" s="781">
        <f t="shared" si="106"/>
        <v>29050</v>
      </c>
      <c r="AG41" s="792">
        <f t="shared" si="95"/>
        <v>6.1037618503328181E-3</v>
      </c>
      <c r="AH41" s="1001">
        <f t="shared" si="96"/>
        <v>-3556</v>
      </c>
      <c r="AI41" s="451">
        <f t="shared" si="97"/>
        <v>-0.12240963855421687</v>
      </c>
      <c r="AJ41" s="1059">
        <v>35000</v>
      </c>
      <c r="AK41" s="1060">
        <f t="shared" si="98"/>
        <v>6.5420560747663555E-3</v>
      </c>
      <c r="AL41" s="595">
        <v>26000</v>
      </c>
      <c r="AM41" s="596">
        <f t="shared" si="99"/>
        <v>4.642857142857143E-3</v>
      </c>
      <c r="AN41" s="791">
        <v>26000</v>
      </c>
      <c r="AO41" s="792">
        <f t="shared" si="100"/>
        <v>4.642857142857143E-3</v>
      </c>
      <c r="AP41" s="450">
        <f t="shared" si="101"/>
        <v>3827.3333333333358</v>
      </c>
      <c r="AQ41" s="451">
        <f t="shared" si="102"/>
        <v>0.14720512820512829</v>
      </c>
      <c r="AR41" s="729">
        <v>25603</v>
      </c>
      <c r="AS41" s="752">
        <f t="shared" si="103"/>
        <v>5.3721442058666594E-3</v>
      </c>
      <c r="AT41" s="729">
        <v>36674</v>
      </c>
      <c r="AU41" s="1220">
        <f t="shared" si="104"/>
        <v>6.8293909246232559E-3</v>
      </c>
      <c r="AV41" s="1198">
        <f t="shared" si="105"/>
        <v>-109</v>
      </c>
      <c r="AW41" s="452"/>
    </row>
    <row r="42" spans="1:51" ht="18" customHeight="1" x14ac:dyDescent="0.25">
      <c r="A42" s="97">
        <v>38</v>
      </c>
      <c r="B42" s="99" t="s">
        <v>13</v>
      </c>
      <c r="C42" s="83" t="s">
        <v>350</v>
      </c>
      <c r="D42" s="60">
        <v>0</v>
      </c>
      <c r="E42" s="61">
        <f t="shared" si="81"/>
        <v>0</v>
      </c>
      <c r="F42" s="175">
        <v>0</v>
      </c>
      <c r="G42" s="176">
        <f t="shared" si="82"/>
        <v>0</v>
      </c>
      <c r="H42" s="131">
        <v>0</v>
      </c>
      <c r="I42" s="61">
        <f t="shared" si="83"/>
        <v>0</v>
      </c>
      <c r="J42" s="175">
        <v>0</v>
      </c>
      <c r="K42" s="176">
        <f t="shared" si="84"/>
        <v>0</v>
      </c>
      <c r="L42" s="312">
        <v>7990</v>
      </c>
      <c r="M42" s="218">
        <f t="shared" si="85"/>
        <v>1.5571090701311011E-3</v>
      </c>
      <c r="N42" s="518">
        <v>21615</v>
      </c>
      <c r="O42" s="519">
        <f t="shared" si="86"/>
        <v>3.9788377007895642E-3</v>
      </c>
      <c r="P42" s="703">
        <v>31249</v>
      </c>
      <c r="Q42" s="366">
        <f t="shared" si="87"/>
        <v>5.3805347888963555E-3</v>
      </c>
      <c r="R42" s="518">
        <f>27325+5000</f>
        <v>32325</v>
      </c>
      <c r="S42" s="519">
        <f t="shared" si="88"/>
        <v>6.1112202381683849E-3</v>
      </c>
      <c r="T42" s="365">
        <f>37958+2500</f>
        <v>40458</v>
      </c>
      <c r="U42" s="366">
        <f t="shared" si="89"/>
        <v>8.3226089933053794E-3</v>
      </c>
      <c r="V42" s="661">
        <v>71345</v>
      </c>
      <c r="W42" s="864">
        <f t="shared" si="90"/>
        <v>1.3242128548039443E-2</v>
      </c>
      <c r="X42" s="661">
        <v>70883</v>
      </c>
      <c r="Y42" s="864">
        <f t="shared" si="91"/>
        <v>1.3167784431983135E-2</v>
      </c>
      <c r="Z42" s="1241">
        <v>75000</v>
      </c>
      <c r="AA42" s="1060">
        <f t="shared" si="92"/>
        <v>1.5228426395939087E-2</v>
      </c>
      <c r="AB42" s="1144">
        <f t="shared" si="93"/>
        <v>5000</v>
      </c>
      <c r="AC42" s="452">
        <f t="shared" si="4"/>
        <v>7.1428571428571425E-2</v>
      </c>
      <c r="AD42" s="424">
        <v>56744</v>
      </c>
      <c r="AE42" s="249">
        <f t="shared" si="94"/>
        <v>1.2464412262236789E-2</v>
      </c>
      <c r="AF42" s="781">
        <f t="shared" si="106"/>
        <v>58100</v>
      </c>
      <c r="AG42" s="792">
        <f t="shared" si="95"/>
        <v>1.2207523700665636E-2</v>
      </c>
      <c r="AH42" s="1001">
        <f t="shared" si="96"/>
        <v>-1356</v>
      </c>
      <c r="AI42" s="451">
        <f t="shared" si="97"/>
        <v>-2.3339070567986231E-2</v>
      </c>
      <c r="AJ42" s="1059">
        <v>70000</v>
      </c>
      <c r="AK42" s="1060">
        <f t="shared" si="98"/>
        <v>1.3084112149532711E-2</v>
      </c>
      <c r="AL42" s="595">
        <v>70000</v>
      </c>
      <c r="AM42" s="596">
        <f t="shared" si="99"/>
        <v>1.2500000000000001E-2</v>
      </c>
      <c r="AN42" s="791">
        <v>70000</v>
      </c>
      <c r="AO42" s="792">
        <f t="shared" si="100"/>
        <v>1.2500000000000001E-2</v>
      </c>
      <c r="AP42" s="450">
        <f t="shared" si="101"/>
        <v>-1589.3333333333285</v>
      </c>
      <c r="AQ42" s="451">
        <f t="shared" si="102"/>
        <v>-2.2704761904761835E-2</v>
      </c>
      <c r="AR42" s="729">
        <v>60745</v>
      </c>
      <c r="AS42" s="752">
        <f t="shared" si="103"/>
        <v>1.2745807123593729E-2</v>
      </c>
      <c r="AT42" s="729">
        <v>65795</v>
      </c>
      <c r="AU42" s="1220">
        <f t="shared" si="104"/>
        <v>1.2252270706374737E-2</v>
      </c>
      <c r="AV42" s="1198">
        <f t="shared" si="105"/>
        <v>-4001</v>
      </c>
      <c r="AW42" s="452">
        <f>AV42/AR42</f>
        <v>-6.5865503333607703E-2</v>
      </c>
    </row>
    <row r="43" spans="1:51" ht="18" customHeight="1" x14ac:dyDescent="0.25">
      <c r="A43" s="98">
        <v>39</v>
      </c>
      <c r="B43" s="99" t="s">
        <v>13</v>
      </c>
      <c r="C43" s="83" t="s">
        <v>12</v>
      </c>
      <c r="D43" s="60">
        <f>7240+1031+29556+47567</f>
        <v>85394</v>
      </c>
      <c r="E43" s="61">
        <f t="shared" si="81"/>
        <v>1.622215953603522E-2</v>
      </c>
      <c r="F43" s="175">
        <f>7585+1585+14900+40309</f>
        <v>64379</v>
      </c>
      <c r="G43" s="176">
        <f t="shared" si="82"/>
        <v>1.2593383304685778E-2</v>
      </c>
      <c r="H43" s="131">
        <f>6338+419+14670+41013</f>
        <v>62440</v>
      </c>
      <c r="I43" s="61">
        <f t="shared" si="83"/>
        <v>1.1446377370049977E-2</v>
      </c>
      <c r="J43" s="175">
        <f>6795+3794+25559+828</f>
        <v>36976</v>
      </c>
      <c r="K43" s="176">
        <f t="shared" si="84"/>
        <v>6.6169524331383765E-3</v>
      </c>
      <c r="L43" s="312">
        <f>5221+313+13248+2705</f>
        <v>21487</v>
      </c>
      <c r="M43" s="218">
        <f t="shared" si="85"/>
        <v>4.1874346170096338E-3</v>
      </c>
      <c r="N43" s="518">
        <f>7370+11800+36735+13361</f>
        <v>69266</v>
      </c>
      <c r="O43" s="519">
        <f t="shared" si="86"/>
        <v>1.2750320249034927E-2</v>
      </c>
      <c r="P43" s="703">
        <f>4015+1522+33932+12428</f>
        <v>51897</v>
      </c>
      <c r="Q43" s="366">
        <f t="shared" si="87"/>
        <v>8.9357615904302277E-3</v>
      </c>
      <c r="R43" s="518">
        <f>2615+615+10206+9818+6707</f>
        <v>29961</v>
      </c>
      <c r="S43" s="519">
        <f t="shared" si="88"/>
        <v>5.6642929483608035E-3</v>
      </c>
      <c r="T43" s="365">
        <f>1573+394+14260+100+1790</f>
        <v>18117</v>
      </c>
      <c r="U43" s="366">
        <f t="shared" si="89"/>
        <v>3.726845299612278E-3</v>
      </c>
      <c r="V43" s="661">
        <f>148+133+11924+1209</f>
        <v>13414</v>
      </c>
      <c r="W43" s="864">
        <f t="shared" si="90"/>
        <v>2.489731758965605E-3</v>
      </c>
      <c r="X43" s="661">
        <f>93+225+21293+1779</f>
        <v>23390</v>
      </c>
      <c r="Y43" s="864">
        <f t="shared" si="91"/>
        <v>4.3451106452052756E-3</v>
      </c>
      <c r="Z43" s="1241">
        <v>5000</v>
      </c>
      <c r="AA43" s="1060">
        <f t="shared" si="92"/>
        <v>1.0152284263959391E-3</v>
      </c>
      <c r="AB43" s="1144">
        <f t="shared" si="93"/>
        <v>-2500</v>
      </c>
      <c r="AC43" s="482">
        <f t="shared" si="4"/>
        <v>-0.33333333333333331</v>
      </c>
      <c r="AD43" s="424">
        <f>1441+104+4954</f>
        <v>6499</v>
      </c>
      <c r="AE43" s="249">
        <f t="shared" si="94"/>
        <v>1.4275732287515313E-3</v>
      </c>
      <c r="AF43" s="781">
        <f t="shared" si="106"/>
        <v>6225</v>
      </c>
      <c r="AG43" s="792">
        <f t="shared" si="95"/>
        <v>1.3079489679284609E-3</v>
      </c>
      <c r="AH43" s="1001">
        <f t="shared" si="96"/>
        <v>274</v>
      </c>
      <c r="AI43" s="451">
        <f t="shared" si="97"/>
        <v>4.4016064257028115E-2</v>
      </c>
      <c r="AJ43" s="1059">
        <v>7500</v>
      </c>
      <c r="AK43" s="1060">
        <f t="shared" si="98"/>
        <v>1.4018691588785046E-3</v>
      </c>
      <c r="AL43" s="595">
        <v>5000</v>
      </c>
      <c r="AM43" s="596">
        <f t="shared" si="99"/>
        <v>8.9285714285714283E-4</v>
      </c>
      <c r="AN43" s="791">
        <v>5000</v>
      </c>
      <c r="AO43" s="792">
        <f t="shared" si="100"/>
        <v>8.9285714285714283E-4</v>
      </c>
      <c r="AP43" s="450">
        <f t="shared" si="101"/>
        <v>2332.333333333333</v>
      </c>
      <c r="AQ43" s="451">
        <f t="shared" si="102"/>
        <v>0.46646666666666659</v>
      </c>
      <c r="AR43" s="729">
        <f>1139+342</f>
        <v>1481</v>
      </c>
      <c r="AS43" s="752">
        <f t="shared" si="103"/>
        <v>3.1075052020812104E-4</v>
      </c>
      <c r="AT43" s="729">
        <f>5624+378</f>
        <v>6002</v>
      </c>
      <c r="AU43" s="1220">
        <f t="shared" si="104"/>
        <v>1.1176856718544141E-3</v>
      </c>
      <c r="AV43" s="1198">
        <f t="shared" si="105"/>
        <v>5018</v>
      </c>
      <c r="AW43" s="452">
        <f>AV43/AR43</f>
        <v>3.3882511816340313</v>
      </c>
    </row>
    <row r="44" spans="1:51" s="3" customFormat="1" ht="18" customHeight="1" x14ac:dyDescent="0.25">
      <c r="A44" s="281">
        <v>40</v>
      </c>
      <c r="B44" s="99"/>
      <c r="C44" s="82" t="s">
        <v>247</v>
      </c>
      <c r="D44" s="36">
        <f>SUM(D38:D43)</f>
        <v>196490</v>
      </c>
      <c r="E44" s="38">
        <f>SUM(E38:E43)</f>
        <v>3.7326886282825031E-2</v>
      </c>
      <c r="F44" s="177">
        <f>SUM(F38:F43)</f>
        <v>185953</v>
      </c>
      <c r="G44" s="178">
        <f>SUM(G38:G43)</f>
        <v>3.6374864562298798E-2</v>
      </c>
      <c r="H44" s="128">
        <f>SUM(H38:H43)</f>
        <v>186798</v>
      </c>
      <c r="I44" s="33">
        <f t="shared" si="83"/>
        <v>3.4243440102027477E-2</v>
      </c>
      <c r="J44" s="172">
        <f>SUM(J38:J43)</f>
        <v>193425</v>
      </c>
      <c r="K44" s="170">
        <f t="shared" si="84"/>
        <v>3.4613912385866252E-2</v>
      </c>
      <c r="L44" s="309">
        <f>SUM(L38:L43)</f>
        <v>209667</v>
      </c>
      <c r="M44" s="216">
        <f t="shared" si="85"/>
        <v>4.0860373893263781E-2</v>
      </c>
      <c r="N44" s="515">
        <f>SUM(N38:N43)</f>
        <v>275963</v>
      </c>
      <c r="O44" s="513">
        <f t="shared" si="86"/>
        <v>5.0798611539347234E-2</v>
      </c>
      <c r="P44" s="658">
        <f>SUM(P38:P43)</f>
        <v>314809</v>
      </c>
      <c r="Q44" s="360">
        <f t="shared" si="87"/>
        <v>5.4204639391906076E-2</v>
      </c>
      <c r="R44" s="515">
        <f>SUM(R38:R43)</f>
        <v>345137</v>
      </c>
      <c r="S44" s="513">
        <f t="shared" si="88"/>
        <v>6.5250060923146849E-2</v>
      </c>
      <c r="T44" s="362">
        <f>SUM(T38:T43)</f>
        <v>337672</v>
      </c>
      <c r="U44" s="360">
        <f t="shared" si="89"/>
        <v>6.9462455484389091E-2</v>
      </c>
      <c r="V44" s="658">
        <f>SUM(V38:V43)</f>
        <v>352051</v>
      </c>
      <c r="W44" s="862">
        <f t="shared" si="90"/>
        <v>6.5343115810019392E-2</v>
      </c>
      <c r="X44" s="658">
        <f>SUM(X38:X43)</f>
        <v>400076</v>
      </c>
      <c r="Y44" s="862">
        <f t="shared" si="91"/>
        <v>7.4321269195859158E-2</v>
      </c>
      <c r="Z44" s="1238">
        <f>SUM(Z38:Z43)</f>
        <v>404395</v>
      </c>
      <c r="AA44" s="1054">
        <f t="shared" si="92"/>
        <v>8.2110659898477156E-2</v>
      </c>
      <c r="AB44" s="1150">
        <f>SUM(AB38:AB43)</f>
        <v>5175</v>
      </c>
      <c r="AC44" s="454">
        <f t="shared" si="4"/>
        <v>1.2962777415961125E-2</v>
      </c>
      <c r="AD44" s="423">
        <f>SUM(AD38:AD43)</f>
        <v>335597</v>
      </c>
      <c r="AE44" s="247">
        <f t="shared" si="94"/>
        <v>7.3717386190079656E-2</v>
      </c>
      <c r="AF44" s="788">
        <f>SUM(AF38:AF43)</f>
        <v>331352.59999999998</v>
      </c>
      <c r="AG44" s="786">
        <f t="shared" si="95"/>
        <v>6.9621251596853354E-2</v>
      </c>
      <c r="AH44" s="461">
        <f>SUM(AH38:AH43)</f>
        <v>4244.4000000000087</v>
      </c>
      <c r="AI44" s="454">
        <f>AH44/AF44</f>
        <v>1.2809315514651188E-2</v>
      </c>
      <c r="AJ44" s="1056">
        <f>SUM(AJ38:AJ43)</f>
        <v>399220</v>
      </c>
      <c r="AK44" s="1054">
        <f t="shared" si="98"/>
        <v>7.4620560747663545E-2</v>
      </c>
      <c r="AL44" s="592">
        <f>SUM(AL38:AL43)</f>
        <v>379685</v>
      </c>
      <c r="AM44" s="590">
        <f t="shared" si="99"/>
        <v>6.7800892857142858E-2</v>
      </c>
      <c r="AN44" s="788">
        <f>SUM(AN38:AN43)</f>
        <v>379685</v>
      </c>
      <c r="AO44" s="786">
        <f t="shared" si="100"/>
        <v>6.7800892857142858E-2</v>
      </c>
      <c r="AP44" s="461">
        <f>SUM(AP38:AP43)</f>
        <v>19192.833333333328</v>
      </c>
      <c r="AQ44" s="454">
        <f>AP44/AN44</f>
        <v>5.0549358898385049E-2</v>
      </c>
      <c r="AR44" s="728">
        <f>SUM(AR38:AR43)</f>
        <v>357563</v>
      </c>
      <c r="AS44" s="750">
        <f t="shared" si="103"/>
        <v>7.5025582888032669E-2</v>
      </c>
      <c r="AT44" s="728">
        <f>SUM(AT38:AT43)</f>
        <v>464894</v>
      </c>
      <c r="AU44" s="1218">
        <f t="shared" si="104"/>
        <v>8.6572036443033323E-2</v>
      </c>
      <c r="AV44" s="1205">
        <f>SUM(AV38:AV43)</f>
        <v>-21966</v>
      </c>
      <c r="AW44" s="455">
        <f>AV44/AR44</f>
        <v>-6.1432530770801227E-2</v>
      </c>
    </row>
    <row r="45" spans="1:51" s="3" customFormat="1" ht="15" customHeight="1" x14ac:dyDescent="0.25">
      <c r="A45" s="282">
        <v>41</v>
      </c>
      <c r="B45" s="99"/>
      <c r="C45" s="81"/>
      <c r="D45" s="37"/>
      <c r="E45" s="30"/>
      <c r="F45" s="173"/>
      <c r="G45" s="162"/>
      <c r="H45" s="129"/>
      <c r="I45" s="30"/>
      <c r="J45" s="173"/>
      <c r="K45" s="162"/>
      <c r="L45" s="310"/>
      <c r="M45" s="212"/>
      <c r="N45" s="516"/>
      <c r="O45" s="507"/>
      <c r="P45" s="659"/>
      <c r="Q45" s="354"/>
      <c r="R45" s="516"/>
      <c r="S45" s="507"/>
      <c r="T45" s="363"/>
      <c r="U45" s="354"/>
      <c r="V45" s="659"/>
      <c r="W45" s="859"/>
      <c r="X45" s="659"/>
      <c r="Y45" s="859"/>
      <c r="Z45" s="1239"/>
      <c r="AA45" s="1048"/>
      <c r="AB45" s="1149"/>
      <c r="AC45" s="459"/>
      <c r="AD45" s="428"/>
      <c r="AE45" s="244"/>
      <c r="AF45" s="789"/>
      <c r="AG45" s="780"/>
      <c r="AH45" s="462"/>
      <c r="AI45" s="458"/>
      <c r="AJ45" s="1057"/>
      <c r="AK45" s="1048"/>
      <c r="AL45" s="593"/>
      <c r="AM45" s="584"/>
      <c r="AN45" s="789"/>
      <c r="AO45" s="780"/>
      <c r="AP45" s="462"/>
      <c r="AQ45" s="458"/>
      <c r="AR45" s="731"/>
      <c r="AS45" s="747"/>
      <c r="AT45" s="731"/>
      <c r="AU45" s="1215"/>
      <c r="AV45" s="1206"/>
      <c r="AW45" s="459"/>
    </row>
    <row r="46" spans="1:51" ht="18" customHeight="1" x14ac:dyDescent="0.25">
      <c r="A46" s="281">
        <v>42</v>
      </c>
      <c r="B46" s="99"/>
      <c r="C46" s="80" t="s">
        <v>326</v>
      </c>
      <c r="D46" s="71">
        <f>SUM(D36+D44)</f>
        <v>-1060112.4599999995</v>
      </c>
      <c r="E46" s="33">
        <f>SUM(E36+E44)</f>
        <v>-0.20138784284913153</v>
      </c>
      <c r="F46" s="174">
        <f>SUM(F36+F44)</f>
        <v>-1145383</v>
      </c>
      <c r="G46" s="170">
        <f>SUM(G36+G44)</f>
        <v>-0.22405205345952736</v>
      </c>
      <c r="H46" s="130">
        <f>SUM(H36+H44)</f>
        <v>-1138400</v>
      </c>
      <c r="I46" s="33">
        <f>H46/H$11</f>
        <v>-0.20868923763717001</v>
      </c>
      <c r="J46" s="174">
        <f>SUM(J36+J44)</f>
        <v>-1280878</v>
      </c>
      <c r="K46" s="170">
        <f>J46/J$11</f>
        <v>-0.22921648633311925</v>
      </c>
      <c r="L46" s="311">
        <f>SUM(L36+L44)</f>
        <v>-1546428</v>
      </c>
      <c r="M46" s="216">
        <f>L46/L$11</f>
        <v>-0.30137134732224014</v>
      </c>
      <c r="N46" s="517">
        <f>SUM(N36+N44)</f>
        <v>-1227625</v>
      </c>
      <c r="O46" s="513">
        <f>N46/N$11</f>
        <v>-0.22597828509978204</v>
      </c>
      <c r="P46" s="660">
        <f>SUM(P36+P44)</f>
        <v>-775909</v>
      </c>
      <c r="Q46" s="360">
        <f>P46/P$11</f>
        <v>-0.13359804689806978</v>
      </c>
      <c r="R46" s="517">
        <f>SUM(R36+R44)</f>
        <v>-1535894</v>
      </c>
      <c r="S46" s="513">
        <f>R46/R$11</f>
        <v>-0.29036926516570433</v>
      </c>
      <c r="T46" s="364">
        <f>SUM(T36+T44)</f>
        <v>-1657235</v>
      </c>
      <c r="U46" s="360">
        <f>T46/T$11</f>
        <v>-0.34090955843147064</v>
      </c>
      <c r="V46" s="660">
        <f>SUM(V36+V44)</f>
        <v>-1171030</v>
      </c>
      <c r="W46" s="862">
        <f>V46/V$11</f>
        <v>-0.21735131815278758</v>
      </c>
      <c r="X46" s="660">
        <f>SUM(X36+X44)</f>
        <v>-1152691</v>
      </c>
      <c r="Y46" s="862">
        <f>X46/X$11</f>
        <v>-0.21413296001420754</v>
      </c>
      <c r="Z46" s="1240">
        <f>SUM(Z36+Z44)</f>
        <v>-1243185</v>
      </c>
      <c r="AA46" s="1054">
        <f>Z46/Z$11</f>
        <v>-0.25242335025380713</v>
      </c>
      <c r="AB46" s="1150">
        <f>AB36+AB44</f>
        <v>-25625</v>
      </c>
      <c r="AC46" s="454">
        <f t="shared" si="4"/>
        <v>2.1046190742140019E-2</v>
      </c>
      <c r="AD46" s="423">
        <f>SUM(AD36+AD44)</f>
        <v>-1162891</v>
      </c>
      <c r="AE46" s="247">
        <f>AD46/AD$11</f>
        <v>-0.25544115395539269</v>
      </c>
      <c r="AF46" s="790">
        <f>SUM(AF36+AF44)</f>
        <v>-928908.50000000058</v>
      </c>
      <c r="AG46" s="786">
        <f>AF46/AF$11</f>
        <v>-0.19517508656626112</v>
      </c>
      <c r="AH46" s="461">
        <f>SUM(AH36+AH44)</f>
        <v>-233982.50000000012</v>
      </c>
      <c r="AI46" s="454">
        <f>AH46/AF46</f>
        <v>0.2518897178785639</v>
      </c>
      <c r="AJ46" s="1058">
        <f>SUM(AJ36+AJ44)</f>
        <v>-1217560</v>
      </c>
      <c r="AK46" s="1054">
        <f>AJ46/AJ$11</f>
        <v>-0.22758130841121496</v>
      </c>
      <c r="AL46" s="594">
        <f>SUM(AL36+AL44)</f>
        <v>-1215565</v>
      </c>
      <c r="AM46" s="590">
        <f>AL46/AL$11</f>
        <v>-0.21706517857142857</v>
      </c>
      <c r="AN46" s="790">
        <f>SUM(AN36+AN44)</f>
        <v>-1215565</v>
      </c>
      <c r="AO46" s="786">
        <f>AN46/AN$11</f>
        <v>-0.21706517857142857</v>
      </c>
      <c r="AP46" s="461">
        <f>SUM(AP36+AP44)</f>
        <v>-328464.7800000002</v>
      </c>
      <c r="AQ46" s="454">
        <f>AP46/AN46</f>
        <v>0.27021572684307316</v>
      </c>
      <c r="AR46" s="728">
        <f>SUM(AR36+AR44)</f>
        <v>-804064</v>
      </c>
      <c r="AS46" s="750">
        <f>AR46/AR$11</f>
        <v>-0.16871256332250009</v>
      </c>
      <c r="AT46" s="728">
        <f>SUM(AT36+AT44)</f>
        <v>-1141604</v>
      </c>
      <c r="AU46" s="1218">
        <f>AT46/AT$11</f>
        <v>-0.21258820955209706</v>
      </c>
      <c r="AV46" s="1205">
        <f>SUM(AV36+AV44)</f>
        <v>-358827</v>
      </c>
      <c r="AW46" s="455">
        <f>AV46/AR46</f>
        <v>0.44626671508735621</v>
      </c>
      <c r="AY46" s="2"/>
    </row>
    <row r="47" spans="1:51" ht="15" customHeight="1" x14ac:dyDescent="0.25">
      <c r="A47" s="97">
        <v>43</v>
      </c>
      <c r="B47" s="99"/>
      <c r="C47" s="76"/>
      <c r="D47" s="29"/>
      <c r="E47" s="32"/>
      <c r="F47" s="161"/>
      <c r="G47" s="171"/>
      <c r="H47" s="123"/>
      <c r="I47" s="32"/>
      <c r="J47" s="161"/>
      <c r="K47" s="171"/>
      <c r="L47" s="305"/>
      <c r="M47" s="217"/>
      <c r="N47" s="506"/>
      <c r="O47" s="514"/>
      <c r="P47" s="654"/>
      <c r="Q47" s="361"/>
      <c r="R47" s="506"/>
      <c r="S47" s="514"/>
      <c r="T47" s="353"/>
      <c r="U47" s="361"/>
      <c r="V47" s="654"/>
      <c r="W47" s="863"/>
      <c r="X47" s="654"/>
      <c r="Y47" s="863"/>
      <c r="Z47" s="1234"/>
      <c r="AA47" s="1055"/>
      <c r="AB47" s="1151"/>
      <c r="AC47" s="459"/>
      <c r="AD47" s="694"/>
      <c r="AE47" s="248"/>
      <c r="AF47" s="779"/>
      <c r="AG47" s="787"/>
      <c r="AH47" s="457"/>
      <c r="AI47" s="458"/>
      <c r="AJ47" s="1047"/>
      <c r="AK47" s="1055"/>
      <c r="AL47" s="583"/>
      <c r="AM47" s="591"/>
      <c r="AN47" s="779"/>
      <c r="AO47" s="787"/>
      <c r="AP47" s="457"/>
      <c r="AQ47" s="458"/>
      <c r="AR47" s="694"/>
      <c r="AS47" s="751"/>
      <c r="AT47" s="694"/>
      <c r="AU47" s="1219"/>
      <c r="AV47" s="1202"/>
      <c r="AW47" s="464"/>
      <c r="AY47" s="2"/>
    </row>
    <row r="48" spans="1:51" s="3" customFormat="1" ht="18" customHeight="1" x14ac:dyDescent="0.25">
      <c r="A48" s="281">
        <v>44</v>
      </c>
      <c r="B48" s="99"/>
      <c r="C48" s="82" t="s">
        <v>185</v>
      </c>
      <c r="D48" s="36">
        <f>432500+85000-9400</f>
        <v>508100</v>
      </c>
      <c r="E48" s="38">
        <f>D48/D$11</f>
        <v>9.6522932059155145E-2</v>
      </c>
      <c r="F48" s="177">
        <f>432500+85000-9400</f>
        <v>508100</v>
      </c>
      <c r="G48" s="178">
        <f>F48/F$11</f>
        <v>9.9391075616440824E-2</v>
      </c>
      <c r="H48" s="132">
        <f>432500+85000-3000</f>
        <v>514500</v>
      </c>
      <c r="I48" s="38">
        <f>H48/H$11</f>
        <v>9.4317122948281776E-2</v>
      </c>
      <c r="J48" s="177">
        <f>432500+81000</f>
        <v>513500</v>
      </c>
      <c r="K48" s="178">
        <f>J48/J$11</f>
        <v>9.1892175314164756E-2</v>
      </c>
      <c r="L48" s="314">
        <f>432500+81000</f>
        <v>513500</v>
      </c>
      <c r="M48" s="219">
        <f>L48/L$11</f>
        <v>0.10007202847463335</v>
      </c>
      <c r="N48" s="522">
        <v>538500</v>
      </c>
      <c r="O48" s="523">
        <f>N48/N$11</f>
        <v>9.9125796987054371E-2</v>
      </c>
      <c r="P48" s="664">
        <v>538500</v>
      </c>
      <c r="Q48" s="370">
        <f>P48/P$11</f>
        <v>9.2720342533223074E-2</v>
      </c>
      <c r="R48" s="522">
        <f>432500+185000+86000</f>
        <v>703500</v>
      </c>
      <c r="S48" s="523">
        <f>R48/R$11</f>
        <v>0.13300057038055557</v>
      </c>
      <c r="T48" s="369">
        <f>432500+25000+86000</f>
        <v>543500</v>
      </c>
      <c r="U48" s="370">
        <f>T48/T$11</f>
        <v>0.11180330188989751</v>
      </c>
      <c r="V48" s="664">
        <f>432500+25000+86000</f>
        <v>543500</v>
      </c>
      <c r="W48" s="865">
        <f>V48/V$11</f>
        <v>0.10087738265974402</v>
      </c>
      <c r="X48" s="664">
        <f>432500+86000</f>
        <v>518500</v>
      </c>
      <c r="Y48" s="865">
        <f>X48/X$11</f>
        <v>9.6320644272720621E-2</v>
      </c>
      <c r="Z48" s="1242">
        <f>432500+86000</f>
        <v>518500</v>
      </c>
      <c r="AA48" s="1062">
        <f>Z48/Z$11</f>
        <v>0.10527918781725888</v>
      </c>
      <c r="AB48" s="1145">
        <f>Z48-AJ48</f>
        <v>0</v>
      </c>
      <c r="AC48" s="454">
        <f t="shared" si="4"/>
        <v>0</v>
      </c>
      <c r="AD48" s="695">
        <f>360417+86000</f>
        <v>446417</v>
      </c>
      <c r="AE48" s="251">
        <f>AD48/AD$11</f>
        <v>9.806015664864938E-2</v>
      </c>
      <c r="AF48" s="793">
        <v>446417</v>
      </c>
      <c r="AG48" s="794">
        <f>AF48/AF$11</f>
        <v>9.3797695488469043E-2</v>
      </c>
      <c r="AH48" s="453">
        <f>AD48-AF48</f>
        <v>0</v>
      </c>
      <c r="AI48" s="454">
        <f>AH48/AF48</f>
        <v>0</v>
      </c>
      <c r="AJ48" s="1061">
        <f>432500+86000</f>
        <v>518500</v>
      </c>
      <c r="AK48" s="1062">
        <f>AJ48/AJ$11</f>
        <v>9.6915887850467286E-2</v>
      </c>
      <c r="AL48" s="599">
        <f>432500+86000</f>
        <v>518500</v>
      </c>
      <c r="AM48" s="600">
        <f>AL48/AL$11</f>
        <v>9.2589285714285721E-2</v>
      </c>
      <c r="AN48" s="793">
        <f>432500+86000</f>
        <v>518500</v>
      </c>
      <c r="AO48" s="794">
        <f>AN48/AN$11</f>
        <v>9.2589285714285721E-2</v>
      </c>
      <c r="AP48" s="453">
        <f>$AD48-((((AN48-86000)/12)*$AX$1)+86000)</f>
        <v>0.33333333337213844</v>
      </c>
      <c r="AQ48" s="454">
        <f>AP48/AN48</f>
        <v>6.4288010293565752E-7</v>
      </c>
      <c r="AR48" s="695">
        <v>446417</v>
      </c>
      <c r="AS48" s="754">
        <f>AR48/AR$11</f>
        <v>9.366935515175473E-2</v>
      </c>
      <c r="AT48" s="695">
        <f>432500+86000+19365</f>
        <v>537865</v>
      </c>
      <c r="AU48" s="1221">
        <f>AT48/AT$11</f>
        <v>0.10016061377740328</v>
      </c>
      <c r="AV48" s="1200">
        <f>AD48-AR48</f>
        <v>0</v>
      </c>
      <c r="AW48" s="455">
        <f>AV48/AR48</f>
        <v>0</v>
      </c>
    </row>
    <row r="49" spans="1:51" ht="15" customHeight="1" x14ac:dyDescent="0.25">
      <c r="A49" s="282">
        <v>45</v>
      </c>
      <c r="B49" s="99"/>
      <c r="C49" s="76"/>
      <c r="D49" s="29"/>
      <c r="E49" s="32"/>
      <c r="F49" s="161" t="s">
        <v>172</v>
      </c>
      <c r="G49" s="171"/>
      <c r="H49" s="123"/>
      <c r="I49" s="32"/>
      <c r="J49" s="161"/>
      <c r="K49" s="171"/>
      <c r="L49" s="305"/>
      <c r="M49" s="217"/>
      <c r="N49" s="506"/>
      <c r="O49" s="514"/>
      <c r="P49" s="654"/>
      <c r="Q49" s="361"/>
      <c r="R49" s="506"/>
      <c r="S49" s="514"/>
      <c r="T49" s="353"/>
      <c r="U49" s="361"/>
      <c r="V49" s="654"/>
      <c r="W49" s="863"/>
      <c r="X49" s="654"/>
      <c r="Y49" s="863"/>
      <c r="Z49" s="1234"/>
      <c r="AA49" s="1055"/>
      <c r="AB49" s="1151"/>
      <c r="AC49" s="464"/>
      <c r="AD49" s="694"/>
      <c r="AE49" s="248"/>
      <c r="AF49" s="779"/>
      <c r="AG49" s="787"/>
      <c r="AH49" s="457"/>
      <c r="AI49" s="458"/>
      <c r="AJ49" s="1047"/>
      <c r="AK49" s="1055"/>
      <c r="AL49" s="583"/>
      <c r="AM49" s="591"/>
      <c r="AN49" s="779"/>
      <c r="AO49" s="787"/>
      <c r="AP49" s="457"/>
      <c r="AQ49" s="458"/>
      <c r="AR49" s="694"/>
      <c r="AS49" s="751"/>
      <c r="AT49" s="694"/>
      <c r="AU49" s="1219"/>
      <c r="AV49" s="1202"/>
      <c r="AW49" s="459"/>
      <c r="AY49" s="2"/>
    </row>
    <row r="50" spans="1:51" ht="18" customHeight="1" x14ac:dyDescent="0.25">
      <c r="A50" s="283">
        <v>46</v>
      </c>
      <c r="B50" s="99"/>
      <c r="C50" s="234" t="s">
        <v>271</v>
      </c>
      <c r="D50" s="235">
        <v>492000</v>
      </c>
      <c r="E50" s="236">
        <f>D50/D$11</f>
        <v>9.3464441198788301E-2</v>
      </c>
      <c r="F50" s="237">
        <v>535000</v>
      </c>
      <c r="G50" s="238">
        <f>F50/F$11</f>
        <v>0.1046530711568507</v>
      </c>
      <c r="H50" s="239">
        <v>475000</v>
      </c>
      <c r="I50" s="236">
        <f>H50/H$11</f>
        <v>8.707606103096957E-2</v>
      </c>
      <c r="J50" s="237">
        <v>475000</v>
      </c>
      <c r="K50" s="238">
        <f>J50/J$11</f>
        <v>8.5002499073472765E-2</v>
      </c>
      <c r="L50" s="315">
        <v>475000</v>
      </c>
      <c r="M50" s="240">
        <f>L50/L$11</f>
        <v>9.2569062366992874E-2</v>
      </c>
      <c r="N50" s="524">
        <v>475000</v>
      </c>
      <c r="O50" s="525">
        <f>N50/N$11</f>
        <v>8.743686828013153E-2</v>
      </c>
      <c r="P50" s="665">
        <v>250000</v>
      </c>
      <c r="Q50" s="372">
        <f>P50/P$11</f>
        <v>4.3045655772155557E-2</v>
      </c>
      <c r="R50" s="524">
        <v>558000</v>
      </c>
      <c r="S50" s="525">
        <f>R50/R$11</f>
        <v>0.10549298972615495</v>
      </c>
      <c r="T50" s="371">
        <v>640000</v>
      </c>
      <c r="U50" s="372">
        <f>T50/T$11</f>
        <v>0.13165430213345797</v>
      </c>
      <c r="V50" s="665">
        <v>675000</v>
      </c>
      <c r="W50" s="866">
        <f>V50/V$11</f>
        <v>0.12528469787548704</v>
      </c>
      <c r="X50" s="665">
        <v>675000</v>
      </c>
      <c r="Y50" s="866">
        <f>X50/X$11</f>
        <v>0.12539331703777515</v>
      </c>
      <c r="Z50" s="1243">
        <v>680000</v>
      </c>
      <c r="AA50" s="1064">
        <f>Z50/Z$11</f>
        <v>0.13807106598984772</v>
      </c>
      <c r="AB50" s="1146">
        <f t="shared" ref="AB50:AB51" si="107">Z50-AJ50</f>
        <v>35000</v>
      </c>
      <c r="AC50" s="452">
        <f t="shared" si="4"/>
        <v>5.4263565891472867E-2</v>
      </c>
      <c r="AD50" s="696">
        <v>537500</v>
      </c>
      <c r="AE50" s="252">
        <f>AD50/AD$11</f>
        <v>0.11806748891428652</v>
      </c>
      <c r="AF50" s="795">
        <v>537500</v>
      </c>
      <c r="AG50" s="796">
        <f>AF50/AF$11</f>
        <v>0.11293535265245748</v>
      </c>
      <c r="AH50" s="1001">
        <f t="shared" ref="AH50:AH51" si="108">AD50-AF50</f>
        <v>0</v>
      </c>
      <c r="AI50" s="714">
        <f>AH50/AF50</f>
        <v>0</v>
      </c>
      <c r="AJ50" s="1063">
        <v>645000</v>
      </c>
      <c r="AK50" s="1064">
        <f>AJ50/AJ$11</f>
        <v>0.1205607476635514</v>
      </c>
      <c r="AL50" s="601">
        <v>645000</v>
      </c>
      <c r="AM50" s="602">
        <f>AL50/AL$11</f>
        <v>0.11517857142857142</v>
      </c>
      <c r="AN50" s="795">
        <v>645000</v>
      </c>
      <c r="AO50" s="796">
        <f>AN50/AN$11</f>
        <v>0.11517857142857142</v>
      </c>
      <c r="AP50" s="465">
        <f>$AD50-(AL50/12*$AX$1)</f>
        <v>0</v>
      </c>
      <c r="AQ50" s="714">
        <f>AP50/AN50</f>
        <v>0</v>
      </c>
      <c r="AR50" s="696">
        <v>537500</v>
      </c>
      <c r="AS50" s="755">
        <f>AR50/AR$11</f>
        <v>0.11278082688174547</v>
      </c>
      <c r="AT50" s="696">
        <v>645000</v>
      </c>
      <c r="AU50" s="1222">
        <f>AT50/AT$11</f>
        <v>0.12011117266679391</v>
      </c>
      <c r="AV50" s="1207">
        <f t="shared" ref="AV50:AV51" si="109">AD50-AR50</f>
        <v>0</v>
      </c>
      <c r="AW50" s="466">
        <f>AV50/AR50</f>
        <v>0</v>
      </c>
      <c r="AX50" s="266"/>
      <c r="AY50" s="2"/>
    </row>
    <row r="51" spans="1:51" ht="18" customHeight="1" x14ac:dyDescent="0.25">
      <c r="A51" s="284">
        <v>47</v>
      </c>
      <c r="B51" s="99"/>
      <c r="C51" s="79" t="s">
        <v>255</v>
      </c>
      <c r="D51" s="58">
        <v>0</v>
      </c>
      <c r="E51" s="59">
        <f>D51/D$11</f>
        <v>0</v>
      </c>
      <c r="F51" s="168">
        <v>0</v>
      </c>
      <c r="G51" s="169">
        <f>F51/F$11</f>
        <v>0</v>
      </c>
      <c r="H51" s="127">
        <v>0</v>
      </c>
      <c r="I51" s="59">
        <f>H51/H$11</f>
        <v>0</v>
      </c>
      <c r="J51" s="168">
        <v>0</v>
      </c>
      <c r="K51" s="169">
        <f>J51/J$11</f>
        <v>0</v>
      </c>
      <c r="L51" s="308">
        <v>50000</v>
      </c>
      <c r="M51" s="215">
        <f>L51/L$11</f>
        <v>9.7441118281045135E-3</v>
      </c>
      <c r="N51" s="511">
        <v>146325</v>
      </c>
      <c r="O51" s="512">
        <f>N51/N$11</f>
        <v>2.6935157370716306E-2</v>
      </c>
      <c r="P51" s="657">
        <v>0</v>
      </c>
      <c r="Q51" s="359">
        <f>P51/P$11</f>
        <v>0</v>
      </c>
      <c r="R51" s="511">
        <v>130500</v>
      </c>
      <c r="S51" s="512">
        <f>R51/R$11</f>
        <v>2.4671747597245913E-2</v>
      </c>
      <c r="T51" s="358">
        <v>475000</v>
      </c>
      <c r="U51" s="359">
        <f>T51/T$11</f>
        <v>9.7712177364675828E-2</v>
      </c>
      <c r="V51" s="657">
        <v>0</v>
      </c>
      <c r="W51" s="861">
        <f>V51/V$11</f>
        <v>0</v>
      </c>
      <c r="X51" s="657">
        <v>0</v>
      </c>
      <c r="Y51" s="861">
        <f>X51/X$11</f>
        <v>0</v>
      </c>
      <c r="Z51" s="1237">
        <v>45000</v>
      </c>
      <c r="AA51" s="1053">
        <f>Z51/Z$11</f>
        <v>9.1370558375634525E-3</v>
      </c>
      <c r="AB51" s="1144">
        <f t="shared" si="107"/>
        <v>-10000</v>
      </c>
      <c r="AC51" s="482">
        <f t="shared" si="4"/>
        <v>-0.18181818181818182</v>
      </c>
      <c r="AD51" s="425">
        <v>0</v>
      </c>
      <c r="AE51" s="246">
        <f>AD51/AD$11</f>
        <v>0</v>
      </c>
      <c r="AF51" s="784">
        <v>0</v>
      </c>
      <c r="AG51" s="785">
        <f>AF51/AF$11</f>
        <v>0</v>
      </c>
      <c r="AH51" s="1001">
        <f t="shared" si="108"/>
        <v>0</v>
      </c>
      <c r="AI51" s="715" t="e">
        <f>AH51/AF51</f>
        <v>#DIV/0!</v>
      </c>
      <c r="AJ51" s="1052">
        <v>55000</v>
      </c>
      <c r="AK51" s="1053">
        <f>AJ51/AJ$11</f>
        <v>1.0280373831775701E-2</v>
      </c>
      <c r="AL51" s="588">
        <v>55000</v>
      </c>
      <c r="AM51" s="589">
        <f>AL51/AL$11</f>
        <v>9.8214285714285712E-3</v>
      </c>
      <c r="AN51" s="784">
        <v>55000</v>
      </c>
      <c r="AO51" s="785">
        <f>AN51/AN$11</f>
        <v>9.8214285714285712E-3</v>
      </c>
      <c r="AP51" s="450">
        <f>$AD51-(AL51/12*$AX$1)</f>
        <v>-45833.333333333328</v>
      </c>
      <c r="AQ51" s="715">
        <f>AP51/AN51</f>
        <v>-0.83333333333333326</v>
      </c>
      <c r="AR51" s="851">
        <v>0</v>
      </c>
      <c r="AS51" s="749">
        <f>AR51/AR$11</f>
        <v>0</v>
      </c>
      <c r="AT51" s="1030">
        <v>0</v>
      </c>
      <c r="AU51" s="1217">
        <f>AT51/AT$11</f>
        <v>0</v>
      </c>
      <c r="AV51" s="1198">
        <f t="shared" si="109"/>
        <v>0</v>
      </c>
      <c r="AW51" s="482" t="e">
        <f>AV51/AR51</f>
        <v>#DIV/0!</v>
      </c>
      <c r="AX51" s="266"/>
      <c r="AY51" s="2"/>
    </row>
    <row r="52" spans="1:51" s="3" customFormat="1" ht="18" customHeight="1" x14ac:dyDescent="0.25">
      <c r="A52" s="281">
        <v>48</v>
      </c>
      <c r="B52" s="99"/>
      <c r="C52" s="82" t="s">
        <v>272</v>
      </c>
      <c r="D52" s="36">
        <f>SUM(D50:D51)</f>
        <v>492000</v>
      </c>
      <c r="E52" s="38">
        <f>D52/D$11</f>
        <v>9.3464441198788301E-2</v>
      </c>
      <c r="F52" s="177">
        <f>SUM(F50:F51)</f>
        <v>535000</v>
      </c>
      <c r="G52" s="178">
        <f>F52/F$11</f>
        <v>0.1046530711568507</v>
      </c>
      <c r="H52" s="128">
        <f>SUM(H50:H51)</f>
        <v>475000</v>
      </c>
      <c r="I52" s="38">
        <f>H52/H$11</f>
        <v>8.707606103096957E-2</v>
      </c>
      <c r="J52" s="172">
        <f>SUM(J50:J51)</f>
        <v>475000</v>
      </c>
      <c r="K52" s="178">
        <f>J52/J$11</f>
        <v>8.5002499073472765E-2</v>
      </c>
      <c r="L52" s="309">
        <f>SUM(L50:L51)</f>
        <v>525000</v>
      </c>
      <c r="M52" s="219">
        <f>L52/L$11</f>
        <v>0.10231317419509739</v>
      </c>
      <c r="N52" s="515">
        <f>SUM(N50:N51)</f>
        <v>621325</v>
      </c>
      <c r="O52" s="523">
        <f>N52/N$11</f>
        <v>0.11437202565084784</v>
      </c>
      <c r="P52" s="658">
        <f>SUM(P50:P51)</f>
        <v>250000</v>
      </c>
      <c r="Q52" s="370">
        <f>P52/P$11</f>
        <v>4.3045655772155557E-2</v>
      </c>
      <c r="R52" s="515">
        <f>SUM(R50:R51)</f>
        <v>688500</v>
      </c>
      <c r="S52" s="523">
        <f>R52/R$11</f>
        <v>0.13016473732340086</v>
      </c>
      <c r="T52" s="362">
        <f>SUM(T50:T51)</f>
        <v>1115000</v>
      </c>
      <c r="U52" s="370">
        <f>T52/T$11</f>
        <v>0.2293664794981338</v>
      </c>
      <c r="V52" s="658">
        <f>SUM(V50:V51)</f>
        <v>675000</v>
      </c>
      <c r="W52" s="865">
        <f>V52/V$11</f>
        <v>0.12528469787548704</v>
      </c>
      <c r="X52" s="658">
        <f>SUM(X50:X51)</f>
        <v>675000</v>
      </c>
      <c r="Y52" s="865">
        <f>X52/X$11</f>
        <v>0.12539331703777515</v>
      </c>
      <c r="Z52" s="1238">
        <f>SUM(Z50:Z51)</f>
        <v>725000</v>
      </c>
      <c r="AA52" s="1062">
        <f>Z52/Z$11</f>
        <v>0.14720812182741116</v>
      </c>
      <c r="AB52" s="1152">
        <f>SUM(AB50:AB51)</f>
        <v>25000</v>
      </c>
      <c r="AC52" s="454">
        <f t="shared" si="4"/>
        <v>3.5714285714285712E-2</v>
      </c>
      <c r="AD52" s="423">
        <f>SUM(AD50:AD51)</f>
        <v>537500</v>
      </c>
      <c r="AE52" s="251">
        <f>AD52/AD$11</f>
        <v>0.11806748891428652</v>
      </c>
      <c r="AF52" s="788">
        <f>SUM(AF50:AF51)</f>
        <v>537500</v>
      </c>
      <c r="AG52" s="794">
        <f>AF52/AF$11</f>
        <v>0.11293535265245748</v>
      </c>
      <c r="AH52" s="461">
        <f>SUM(AH50:AH51)</f>
        <v>0</v>
      </c>
      <c r="AI52" s="454">
        <f>AH52/AF52</f>
        <v>0</v>
      </c>
      <c r="AJ52" s="1056">
        <f>SUM(AJ50:AJ51)</f>
        <v>700000</v>
      </c>
      <c r="AK52" s="1062">
        <f>AJ52/AJ$11</f>
        <v>0.13084112149532709</v>
      </c>
      <c r="AL52" s="592">
        <f>SUM(AL50:AL51)</f>
        <v>700000</v>
      </c>
      <c r="AM52" s="600">
        <f>AL52/AL$11</f>
        <v>0.125</v>
      </c>
      <c r="AN52" s="788">
        <f>SUM(AN50:AN51)</f>
        <v>700000</v>
      </c>
      <c r="AO52" s="794">
        <f>AN52/AN$11</f>
        <v>0.125</v>
      </c>
      <c r="AP52" s="461">
        <f>SUM(AP50:AP51)</f>
        <v>-45833.333333333328</v>
      </c>
      <c r="AQ52" s="454">
        <f>AP52/AN52</f>
        <v>-6.5476190476190466E-2</v>
      </c>
      <c r="AR52" s="728">
        <f>SUM(AR50:AR51)</f>
        <v>537500</v>
      </c>
      <c r="AS52" s="754">
        <f>AR52/AR$11</f>
        <v>0.11278082688174547</v>
      </c>
      <c r="AT52" s="728">
        <f>SUM(AT50:AT51)</f>
        <v>645000</v>
      </c>
      <c r="AU52" s="1221">
        <f>AT52/AT$11</f>
        <v>0.12011117266679391</v>
      </c>
      <c r="AV52" s="1205">
        <f>SUM(AV50:AV51)</f>
        <v>0</v>
      </c>
      <c r="AW52" s="455">
        <f>AV52/AR52</f>
        <v>0</v>
      </c>
    </row>
    <row r="53" spans="1:51" ht="15" customHeight="1" x14ac:dyDescent="0.25">
      <c r="A53" s="282">
        <v>49</v>
      </c>
      <c r="B53" s="99"/>
      <c r="C53" s="81"/>
      <c r="D53" s="37"/>
      <c r="E53" s="30"/>
      <c r="F53" s="173"/>
      <c r="G53" s="162"/>
      <c r="H53" s="129"/>
      <c r="I53" s="30"/>
      <c r="J53" s="173"/>
      <c r="K53" s="162"/>
      <c r="L53" s="310"/>
      <c r="M53" s="212"/>
      <c r="N53" s="516"/>
      <c r="O53" s="507"/>
      <c r="P53" s="659"/>
      <c r="Q53" s="354"/>
      <c r="R53" s="516"/>
      <c r="S53" s="507"/>
      <c r="T53" s="363"/>
      <c r="U53" s="354"/>
      <c r="V53" s="659"/>
      <c r="W53" s="859"/>
      <c r="X53" s="659"/>
      <c r="Y53" s="859"/>
      <c r="Z53" s="1239"/>
      <c r="AA53" s="1048"/>
      <c r="AB53" s="1149"/>
      <c r="AC53" s="459"/>
      <c r="AD53" s="428"/>
      <c r="AE53" s="244"/>
      <c r="AF53" s="789"/>
      <c r="AG53" s="780"/>
      <c r="AH53" s="462"/>
      <c r="AI53" s="458"/>
      <c r="AJ53" s="1057"/>
      <c r="AK53" s="1048"/>
      <c r="AL53" s="593"/>
      <c r="AM53" s="584"/>
      <c r="AN53" s="789"/>
      <c r="AO53" s="780"/>
      <c r="AP53" s="462"/>
      <c r="AQ53" s="458"/>
      <c r="AR53" s="731"/>
      <c r="AS53" s="747"/>
      <c r="AT53" s="731"/>
      <c r="AU53" s="1215"/>
      <c r="AV53" s="1206"/>
      <c r="AW53" s="459"/>
    </row>
    <row r="54" spans="1:51" s="3" customFormat="1" ht="18" customHeight="1" thickBot="1" x14ac:dyDescent="0.3">
      <c r="A54" s="285">
        <v>50</v>
      </c>
      <c r="B54" s="99"/>
      <c r="C54" s="84" t="s">
        <v>337</v>
      </c>
      <c r="D54" s="72">
        <f>D46+D48+D52</f>
        <v>-60012.459999999497</v>
      </c>
      <c r="E54" s="40">
        <f>D54/D$11</f>
        <v>-1.1400469591188187E-2</v>
      </c>
      <c r="F54" s="204">
        <f>F46+F48+F52</f>
        <v>-102283</v>
      </c>
      <c r="G54" s="179">
        <f>F54/F$11</f>
        <v>-2.0007906686235814E-2</v>
      </c>
      <c r="H54" s="133">
        <f>H46+H48+H52</f>
        <v>-148900</v>
      </c>
      <c r="I54" s="40">
        <f>H54/H$11</f>
        <v>-2.7296053657918668E-2</v>
      </c>
      <c r="J54" s="204">
        <f>J46+J48+J52</f>
        <v>-292378</v>
      </c>
      <c r="K54" s="179">
        <f>J54/J$11</f>
        <v>-5.2321811945481723E-2</v>
      </c>
      <c r="L54" s="316">
        <f>L46+L48+L52</f>
        <v>-507928</v>
      </c>
      <c r="M54" s="220">
        <f>L54/L$11</f>
        <v>-9.8986144652509378E-2</v>
      </c>
      <c r="N54" s="526">
        <f>N46+N48+N52</f>
        <v>-67800</v>
      </c>
      <c r="O54" s="527">
        <f>N54/N$11</f>
        <v>-1.2480462461879827E-2</v>
      </c>
      <c r="P54" s="666">
        <f>P46+P48+P52</f>
        <v>12591</v>
      </c>
      <c r="Q54" s="374">
        <f>P54/P$11</f>
        <v>2.1679514073088425E-3</v>
      </c>
      <c r="R54" s="526">
        <f>R46+R48+R52</f>
        <v>-143894</v>
      </c>
      <c r="S54" s="527">
        <f>R54/R$11</f>
        <v>-2.7203957461747922E-2</v>
      </c>
      <c r="T54" s="373">
        <f>T46+T48+T52</f>
        <v>1265</v>
      </c>
      <c r="U54" s="374">
        <f>T54/T$11</f>
        <v>2.6022295656066298E-4</v>
      </c>
      <c r="V54" s="666">
        <f>V46+V48+V52</f>
        <v>47470</v>
      </c>
      <c r="W54" s="867">
        <f>V54/V$11</f>
        <v>8.8107623824435124E-3</v>
      </c>
      <c r="X54" s="666">
        <f>X46+X48+X52</f>
        <v>40809</v>
      </c>
      <c r="Y54" s="867">
        <f>X54/X$11</f>
        <v>7.5810012962882461E-3</v>
      </c>
      <c r="Z54" s="1244">
        <f>Z46+Z48+Z52</f>
        <v>315</v>
      </c>
      <c r="AA54" s="1066">
        <f>Z54/Z$11</f>
        <v>6.3959390862944158E-5</v>
      </c>
      <c r="AB54" s="1153">
        <f>AB46+AB48+AB52</f>
        <v>-625</v>
      </c>
      <c r="AC54" s="468">
        <f t="shared" si="4"/>
        <v>-0.66489361702127658</v>
      </c>
      <c r="AD54" s="427">
        <f>AD46+AD48+AD52</f>
        <v>-178974</v>
      </c>
      <c r="AE54" s="253">
        <f>AD54/AD$11</f>
        <v>-3.9313508392456772E-2</v>
      </c>
      <c r="AF54" s="797">
        <f>AF46+AF48+AF52</f>
        <v>55008.499999999418</v>
      </c>
      <c r="AG54" s="798">
        <f>AF54/AF$11</f>
        <v>1.155796157466538E-2</v>
      </c>
      <c r="AH54" s="467">
        <f>AH46+AH48+AH52</f>
        <v>-233982.50000000012</v>
      </c>
      <c r="AI54" s="468"/>
      <c r="AJ54" s="1065">
        <f>AJ46+AJ48+AJ52</f>
        <v>940</v>
      </c>
      <c r="AK54" s="1066">
        <f>AJ54/AJ$11</f>
        <v>1.7570093457943924E-4</v>
      </c>
      <c r="AL54" s="603">
        <f>AL46+AL48+AL52</f>
        <v>2935</v>
      </c>
      <c r="AM54" s="604">
        <f>AL54/AL$11</f>
        <v>5.2410714285714289E-4</v>
      </c>
      <c r="AN54" s="797">
        <f>AN46+AN48+AN52</f>
        <v>2935</v>
      </c>
      <c r="AO54" s="798">
        <f>AN54/AN$11</f>
        <v>5.2410714285714289E-4</v>
      </c>
      <c r="AP54" s="467">
        <f>AP46+AP48+AP52</f>
        <v>-374297.78000000014</v>
      </c>
      <c r="AQ54" s="468"/>
      <c r="AR54" s="730">
        <f>AR46+AR48+AR52</f>
        <v>179853</v>
      </c>
      <c r="AS54" s="756">
        <f>AR54/AR$11</f>
        <v>3.7737618711000127E-2</v>
      </c>
      <c r="AT54" s="730">
        <f>AT46+AT48+AT52</f>
        <v>41261</v>
      </c>
      <c r="AU54" s="1223">
        <f>AT54/AT$11</f>
        <v>7.68357689210013E-3</v>
      </c>
      <c r="AV54" s="1208">
        <f>AV46+AV48+AV52</f>
        <v>-358827</v>
      </c>
      <c r="AW54" s="469">
        <f>AV54/AR54</f>
        <v>-1.9951126753515371</v>
      </c>
    </row>
    <row r="55" spans="1:51" s="3" customFormat="1" ht="15" hidden="1" customHeight="1" thickTop="1" x14ac:dyDescent="0.25">
      <c r="A55" s="282"/>
      <c r="B55" s="103"/>
      <c r="C55" s="81"/>
      <c r="D55" s="267"/>
      <c r="E55" s="30"/>
      <c r="F55" s="268"/>
      <c r="G55" s="162"/>
      <c r="H55" s="221"/>
      <c r="I55" s="30"/>
      <c r="J55" s="268"/>
      <c r="K55" s="162"/>
      <c r="L55" s="317"/>
      <c r="M55" s="212"/>
      <c r="N55" s="528"/>
      <c r="O55" s="507"/>
      <c r="P55" s="667"/>
      <c r="Q55" s="354"/>
      <c r="R55" s="528"/>
      <c r="S55" s="507"/>
      <c r="T55" s="375"/>
      <c r="U55" s="354"/>
      <c r="V55" s="667"/>
      <c r="W55" s="859"/>
      <c r="X55" s="667"/>
      <c r="Y55" s="859"/>
      <c r="Z55" s="1067"/>
      <c r="AA55" s="1068"/>
      <c r="AB55" s="1149"/>
      <c r="AC55" s="1130"/>
      <c r="AD55" s="428"/>
      <c r="AE55" s="244"/>
      <c r="AF55" s="799"/>
      <c r="AG55" s="971"/>
      <c r="AH55" s="470"/>
      <c r="AI55" s="458"/>
      <c r="AJ55" s="1067"/>
      <c r="AK55" s="1068"/>
      <c r="AL55" s="605"/>
      <c r="AM55" s="606"/>
      <c r="AN55" s="799"/>
      <c r="AO55" s="971"/>
      <c r="AP55" s="470"/>
      <c r="AQ55" s="458"/>
      <c r="AR55" s="731"/>
      <c r="AS55" s="747"/>
      <c r="AT55" s="896"/>
      <c r="AU55" s="244"/>
      <c r="AV55" s="470"/>
      <c r="AW55" s="459"/>
    </row>
    <row r="56" spans="1:51" s="3" customFormat="1" ht="17.25" hidden="1" thickTop="1" thickBot="1" x14ac:dyDescent="0.3">
      <c r="A56" s="281">
        <v>52</v>
      </c>
      <c r="B56" s="103"/>
      <c r="C56" s="269" t="s">
        <v>338</v>
      </c>
      <c r="D56" s="270"/>
      <c r="E56" s="271"/>
      <c r="F56" s="272"/>
      <c r="G56" s="273"/>
      <c r="H56" s="414"/>
      <c r="I56" s="293"/>
      <c r="J56" s="272"/>
      <c r="K56" s="273"/>
      <c r="L56" s="270"/>
      <c r="M56" s="271"/>
      <c r="N56" s="529">
        <v>1442505</v>
      </c>
      <c r="O56" s="523"/>
      <c r="P56" s="668">
        <v>1442505</v>
      </c>
      <c r="Q56" s="370"/>
      <c r="R56" s="529">
        <v>1442505</v>
      </c>
      <c r="S56" s="523"/>
      <c r="T56" s="376">
        <v>-3403372</v>
      </c>
      <c r="U56" s="410"/>
      <c r="V56" s="668">
        <v>899308</v>
      </c>
      <c r="W56" s="868"/>
      <c r="X56" s="668">
        <v>2070578</v>
      </c>
      <c r="Y56" s="868"/>
      <c r="Z56" s="1069"/>
      <c r="AA56" s="1070"/>
      <c r="AB56" s="1152"/>
      <c r="AC56" s="1133"/>
      <c r="AD56" s="429"/>
      <c r="AE56" s="430"/>
      <c r="AF56" s="800"/>
      <c r="AG56" s="972"/>
      <c r="AH56" s="471"/>
      <c r="AI56" s="454"/>
      <c r="AJ56" s="1069"/>
      <c r="AK56" s="1070"/>
      <c r="AL56" s="607"/>
      <c r="AM56" s="608"/>
      <c r="AN56" s="800"/>
      <c r="AO56" s="972"/>
      <c r="AP56" s="471"/>
      <c r="AQ56" s="454"/>
      <c r="AR56" s="732"/>
      <c r="AS56" s="757"/>
      <c r="AT56" s="897"/>
      <c r="AU56" s="430"/>
      <c r="AV56" s="465">
        <f t="shared" ref="AV56:AV59" si="110">AD56-AR56</f>
        <v>0</v>
      </c>
      <c r="AW56" s="455" t="e">
        <f>AV56/AR56</f>
        <v>#DIV/0!</v>
      </c>
    </row>
    <row r="57" spans="1:51" s="3" customFormat="1" ht="17.25" hidden="1" thickTop="1" thickBot="1" x14ac:dyDescent="0.3">
      <c r="A57" s="281">
        <v>53</v>
      </c>
      <c r="B57" s="103"/>
      <c r="C57" s="269" t="s">
        <v>341</v>
      </c>
      <c r="D57" s="270"/>
      <c r="E57" s="271"/>
      <c r="F57" s="272"/>
      <c r="G57" s="273"/>
      <c r="H57" s="414"/>
      <c r="I57" s="293"/>
      <c r="J57" s="272"/>
      <c r="K57" s="273"/>
      <c r="L57" s="270"/>
      <c r="M57" s="271"/>
      <c r="N57" s="529">
        <v>199196</v>
      </c>
      <c r="O57" s="523"/>
      <c r="P57" s="668">
        <v>199196</v>
      </c>
      <c r="Q57" s="370"/>
      <c r="R57" s="529">
        <v>199196</v>
      </c>
      <c r="S57" s="523"/>
      <c r="T57" s="376">
        <f>325206+521536+51044</f>
        <v>897786</v>
      </c>
      <c r="U57" s="410"/>
      <c r="V57" s="668">
        <v>73337</v>
      </c>
      <c r="W57" s="868"/>
      <c r="X57" s="668">
        <v>148640</v>
      </c>
      <c r="Y57" s="868"/>
      <c r="Z57" s="1069"/>
      <c r="AA57" s="1070"/>
      <c r="AB57" s="1152"/>
      <c r="AC57" s="1133"/>
      <c r="AD57" s="429"/>
      <c r="AE57" s="430"/>
      <c r="AF57" s="800"/>
      <c r="AG57" s="972"/>
      <c r="AH57" s="471"/>
      <c r="AI57" s="454"/>
      <c r="AJ57" s="1069"/>
      <c r="AK57" s="1070"/>
      <c r="AL57" s="607"/>
      <c r="AM57" s="608"/>
      <c r="AN57" s="800"/>
      <c r="AO57" s="972"/>
      <c r="AP57" s="471"/>
      <c r="AQ57" s="454"/>
      <c r="AR57" s="732"/>
      <c r="AS57" s="757"/>
      <c r="AT57" s="897"/>
      <c r="AU57" s="430"/>
      <c r="AV57" s="465">
        <f t="shared" si="110"/>
        <v>0</v>
      </c>
      <c r="AW57" s="455" t="e">
        <f>AV57/AR57</f>
        <v>#DIV/0!</v>
      </c>
    </row>
    <row r="58" spans="1:51" s="3" customFormat="1" ht="17.25" hidden="1" thickTop="1" thickBot="1" x14ac:dyDescent="0.3">
      <c r="A58" s="281">
        <v>54</v>
      </c>
      <c r="B58" s="103"/>
      <c r="C58" s="269" t="s">
        <v>367</v>
      </c>
      <c r="D58" s="270"/>
      <c r="E58" s="271"/>
      <c r="F58" s="272"/>
      <c r="G58" s="273"/>
      <c r="H58" s="414"/>
      <c r="I58" s="293"/>
      <c r="J58" s="272"/>
      <c r="K58" s="273"/>
      <c r="L58" s="270"/>
      <c r="M58" s="271"/>
      <c r="N58" s="529"/>
      <c r="O58" s="523"/>
      <c r="P58" s="668"/>
      <c r="Q58" s="370"/>
      <c r="R58" s="529"/>
      <c r="S58" s="523"/>
      <c r="T58" s="376"/>
      <c r="U58" s="410"/>
      <c r="V58" s="668"/>
      <c r="W58" s="868"/>
      <c r="X58" s="668"/>
      <c r="Y58" s="868"/>
      <c r="Z58" s="1069"/>
      <c r="AA58" s="1070"/>
      <c r="AB58" s="1152"/>
      <c r="AC58" s="1133"/>
      <c r="AD58" s="732"/>
      <c r="AE58" s="430"/>
      <c r="AF58" s="800"/>
      <c r="AG58" s="972"/>
      <c r="AH58" s="471"/>
      <c r="AI58" s="454"/>
      <c r="AJ58" s="1069"/>
      <c r="AK58" s="1070"/>
      <c r="AL58" s="607"/>
      <c r="AM58" s="608"/>
      <c r="AN58" s="800"/>
      <c r="AO58" s="972"/>
      <c r="AP58" s="471"/>
      <c r="AQ58" s="454"/>
      <c r="AR58" s="732"/>
      <c r="AS58" s="757"/>
      <c r="AT58" s="897"/>
      <c r="AU58" s="430"/>
      <c r="AV58" s="465"/>
      <c r="AW58" s="455"/>
    </row>
    <row r="59" spans="1:51" s="3" customFormat="1" ht="17.25" hidden="1" thickTop="1" thickBot="1" x14ac:dyDescent="0.3">
      <c r="A59" s="281">
        <v>55</v>
      </c>
      <c r="B59" s="103"/>
      <c r="C59" s="269" t="s">
        <v>339</v>
      </c>
      <c r="D59" s="270"/>
      <c r="E59" s="271"/>
      <c r="F59" s="272"/>
      <c r="G59" s="273"/>
      <c r="H59" s="414"/>
      <c r="I59" s="293"/>
      <c r="J59" s="272"/>
      <c r="K59" s="273"/>
      <c r="L59" s="270"/>
      <c r="M59" s="271"/>
      <c r="N59" s="529">
        <v>-124209</v>
      </c>
      <c r="O59" s="523"/>
      <c r="P59" s="668">
        <v>-124209</v>
      </c>
      <c r="Q59" s="370"/>
      <c r="R59" s="529">
        <v>-124209</v>
      </c>
      <c r="S59" s="523"/>
      <c r="T59" s="376">
        <v>-107114</v>
      </c>
      <c r="U59" s="410"/>
      <c r="V59" s="668">
        <v>-68541</v>
      </c>
      <c r="W59" s="868"/>
      <c r="X59" s="668">
        <v>-74741</v>
      </c>
      <c r="Y59" s="868"/>
      <c r="Z59" s="1069"/>
      <c r="AA59" s="1070"/>
      <c r="AB59" s="1152"/>
      <c r="AC59" s="1133"/>
      <c r="AD59" s="429"/>
      <c r="AE59" s="430"/>
      <c r="AF59" s="800"/>
      <c r="AG59" s="972"/>
      <c r="AH59" s="471"/>
      <c r="AI59" s="454"/>
      <c r="AJ59" s="1069"/>
      <c r="AK59" s="1070"/>
      <c r="AL59" s="607"/>
      <c r="AM59" s="608"/>
      <c r="AN59" s="800"/>
      <c r="AO59" s="972"/>
      <c r="AP59" s="471"/>
      <c r="AQ59" s="454"/>
      <c r="AR59" s="732"/>
      <c r="AS59" s="757"/>
      <c r="AT59" s="897"/>
      <c r="AU59" s="430"/>
      <c r="AV59" s="465">
        <f t="shared" si="110"/>
        <v>0</v>
      </c>
      <c r="AW59" s="455" t="e">
        <f>AV59/AR59</f>
        <v>#DIV/0!</v>
      </c>
    </row>
    <row r="60" spans="1:51" s="3" customFormat="1" ht="15.75" hidden="1" customHeight="1" thickBot="1" x14ac:dyDescent="0.3">
      <c r="A60" s="285">
        <v>56</v>
      </c>
      <c r="B60" s="103"/>
      <c r="C60" s="274" t="s">
        <v>340</v>
      </c>
      <c r="D60" s="275"/>
      <c r="E60" s="276"/>
      <c r="F60" s="277"/>
      <c r="G60" s="278"/>
      <c r="H60" s="415"/>
      <c r="I60" s="294"/>
      <c r="J60" s="277"/>
      <c r="K60" s="278"/>
      <c r="L60" s="275"/>
      <c r="M60" s="276"/>
      <c r="N60" s="530">
        <f>SUM(N54:N59)</f>
        <v>1449692</v>
      </c>
      <c r="O60" s="527"/>
      <c r="P60" s="669">
        <f>SUM(P54:P59)</f>
        <v>1530083</v>
      </c>
      <c r="Q60" s="374"/>
      <c r="R60" s="530">
        <f>SUM(R54:R59)</f>
        <v>1373598</v>
      </c>
      <c r="S60" s="527"/>
      <c r="T60" s="377">
        <f>SUM(T54:T59)</f>
        <v>-2611435</v>
      </c>
      <c r="U60" s="411"/>
      <c r="V60" s="669">
        <f>SUM(V54:V59)</f>
        <v>951574</v>
      </c>
      <c r="W60" s="869"/>
      <c r="X60" s="669">
        <f>SUM(X54:X59)</f>
        <v>2185286</v>
      </c>
      <c r="Y60" s="869"/>
      <c r="Z60" s="1071"/>
      <c r="AA60" s="1072"/>
      <c r="AB60" s="1153"/>
      <c r="AC60" s="1134"/>
      <c r="AD60" s="431">
        <f>SUM(AD54:AD59)</f>
        <v>-178974</v>
      </c>
      <c r="AE60" s="432"/>
      <c r="AF60" s="801"/>
      <c r="AG60" s="973"/>
      <c r="AH60" s="472"/>
      <c r="AI60" s="468"/>
      <c r="AJ60" s="1071"/>
      <c r="AK60" s="1072"/>
      <c r="AL60" s="609"/>
      <c r="AM60" s="610"/>
      <c r="AN60" s="801"/>
      <c r="AO60" s="973"/>
      <c r="AP60" s="472"/>
      <c r="AQ60" s="468"/>
      <c r="AR60" s="733">
        <f>SUM(AR54:AR59)</f>
        <v>179853</v>
      </c>
      <c r="AS60" s="758"/>
      <c r="AT60" s="898">
        <f>SUM(AT54:AT59)</f>
        <v>41261</v>
      </c>
      <c r="AU60" s="432"/>
      <c r="AV60" s="431">
        <f>SUM(AV54:AV59)</f>
        <v>-358827</v>
      </c>
      <c r="AW60" s="469">
        <f>AV60/AR60</f>
        <v>-1.9951126753515371</v>
      </c>
    </row>
    <row r="61" spans="1:51" ht="18" hidden="1" customHeight="1" thickTop="1" x14ac:dyDescent="0.25">
      <c r="A61" s="96"/>
      <c r="B61" s="94"/>
      <c r="C61" s="81"/>
      <c r="D61" s="37"/>
      <c r="E61" s="30"/>
      <c r="F61" s="173"/>
      <c r="G61" s="162"/>
      <c r="H61" s="129"/>
      <c r="I61" s="30"/>
      <c r="J61" s="268"/>
      <c r="K61" s="162"/>
      <c r="L61" s="317"/>
      <c r="M61" s="212"/>
      <c r="N61" s="528"/>
      <c r="O61" s="507"/>
      <c r="P61" s="667"/>
      <c r="Q61" s="354"/>
      <c r="R61" s="528"/>
      <c r="S61" s="507"/>
      <c r="T61" s="375"/>
      <c r="U61" s="354"/>
      <c r="V61" s="670"/>
      <c r="W61" s="671"/>
      <c r="X61" s="888"/>
      <c r="Y61" s="671"/>
      <c r="Z61" s="1073"/>
      <c r="AA61" s="1074"/>
      <c r="AB61" s="1149"/>
      <c r="AC61" s="1130"/>
      <c r="AD61" s="640"/>
      <c r="AE61" s="641"/>
      <c r="AF61" s="974"/>
      <c r="AG61" s="975"/>
      <c r="AH61" s="642"/>
      <c r="AI61" s="643"/>
      <c r="AJ61" s="1073"/>
      <c r="AK61" s="1074"/>
      <c r="AL61" s="767"/>
      <c r="AM61" s="721"/>
      <c r="AN61" s="974"/>
      <c r="AO61" s="975"/>
      <c r="AP61" s="642"/>
      <c r="AQ61" s="643"/>
      <c r="AR61" s="640"/>
      <c r="AS61" s="641"/>
      <c r="AT61" s="899"/>
      <c r="AU61" s="641"/>
      <c r="AV61" s="642"/>
      <c r="AW61" s="643"/>
      <c r="AY61" s="2"/>
    </row>
    <row r="62" spans="1:51" ht="18" hidden="1" customHeight="1" x14ac:dyDescent="0.25">
      <c r="A62" s="100"/>
      <c r="B62" s="101"/>
      <c r="C62" s="76" t="s">
        <v>198</v>
      </c>
      <c r="D62" s="29"/>
      <c r="E62" s="30"/>
      <c r="F62" s="161"/>
      <c r="G62" s="162"/>
      <c r="H62" s="123"/>
      <c r="I62" s="30"/>
      <c r="J62" s="161"/>
      <c r="K62" s="162"/>
      <c r="L62" s="305"/>
      <c r="M62" s="212"/>
      <c r="N62" s="506"/>
      <c r="O62" s="507"/>
      <c r="P62" s="654"/>
      <c r="Q62" s="354"/>
      <c r="R62" s="506"/>
      <c r="S62" s="507"/>
      <c r="T62" s="353"/>
      <c r="U62" s="354"/>
      <c r="V62" s="672"/>
      <c r="W62" s="673"/>
      <c r="X62" s="889"/>
      <c r="Y62" s="673"/>
      <c r="Z62" s="1075"/>
      <c r="AA62" s="1076"/>
      <c r="AB62" s="1149"/>
      <c r="AC62" s="1130"/>
      <c r="AD62" s="697"/>
      <c r="AE62" s="637"/>
      <c r="AF62" s="976"/>
      <c r="AG62" s="977"/>
      <c r="AH62" s="639"/>
      <c r="AI62" s="493"/>
      <c r="AJ62" s="1075"/>
      <c r="AK62" s="1076"/>
      <c r="AL62" s="720"/>
      <c r="AM62" s="719"/>
      <c r="AN62" s="976"/>
      <c r="AO62" s="977"/>
      <c r="AP62" s="639"/>
      <c r="AQ62" s="493"/>
      <c r="AR62" s="697"/>
      <c r="AS62" s="637"/>
      <c r="AT62" s="900"/>
      <c r="AU62" s="637"/>
      <c r="AV62" s="639"/>
      <c r="AW62" s="493"/>
    </row>
    <row r="63" spans="1:51" s="4" customFormat="1" ht="18" hidden="1" customHeight="1" x14ac:dyDescent="0.25">
      <c r="A63" s="102"/>
      <c r="B63" s="103"/>
      <c r="C63" s="108" t="s">
        <v>186</v>
      </c>
      <c r="D63" s="109">
        <v>6</v>
      </c>
      <c r="E63" s="110"/>
      <c r="F63" s="180">
        <v>7</v>
      </c>
      <c r="G63" s="181"/>
      <c r="H63" s="134">
        <v>7</v>
      </c>
      <c r="I63" s="110"/>
      <c r="J63" s="180">
        <v>7</v>
      </c>
      <c r="K63" s="181"/>
      <c r="L63" s="318">
        <v>7.8</v>
      </c>
      <c r="M63" s="222"/>
      <c r="N63" s="531">
        <v>8</v>
      </c>
      <c r="O63" s="532"/>
      <c r="P63" s="674">
        <v>8</v>
      </c>
      <c r="Q63" s="379"/>
      <c r="R63" s="531">
        <v>8.8000000000000007</v>
      </c>
      <c r="S63" s="532"/>
      <c r="T63" s="378">
        <v>8.8000000000000007</v>
      </c>
      <c r="U63" s="379"/>
      <c r="V63" s="674">
        <v>8.8000000000000007</v>
      </c>
      <c r="W63" s="870"/>
      <c r="X63" s="674">
        <v>7</v>
      </c>
      <c r="Y63" s="870"/>
      <c r="Z63" s="1077">
        <v>8</v>
      </c>
      <c r="AA63" s="1078"/>
      <c r="AB63" s="1154"/>
      <c r="AC63" s="1135"/>
      <c r="AD63" s="433">
        <v>8</v>
      </c>
      <c r="AE63" s="254"/>
      <c r="AF63" s="803">
        <v>8</v>
      </c>
      <c r="AG63" s="804"/>
      <c r="AH63" s="473"/>
      <c r="AI63" s="451"/>
      <c r="AJ63" s="1077">
        <v>8</v>
      </c>
      <c r="AK63" s="1078"/>
      <c r="AL63" s="611">
        <v>8</v>
      </c>
      <c r="AM63" s="612"/>
      <c r="AN63" s="803">
        <v>8</v>
      </c>
      <c r="AO63" s="804"/>
      <c r="AP63" s="473"/>
      <c r="AQ63" s="451"/>
      <c r="AR63" s="734">
        <v>8</v>
      </c>
      <c r="AS63" s="759"/>
      <c r="AT63" s="901">
        <v>8</v>
      </c>
      <c r="AU63" s="254"/>
      <c r="AV63" s="473"/>
      <c r="AW63" s="452"/>
    </row>
    <row r="64" spans="1:51" ht="18" hidden="1" customHeight="1" x14ac:dyDescent="0.25">
      <c r="A64" s="104">
        <v>1</v>
      </c>
      <c r="B64" s="105" t="s">
        <v>44</v>
      </c>
      <c r="C64" s="77" t="s">
        <v>187</v>
      </c>
      <c r="D64" s="54">
        <f>347551+825</f>
        <v>348376</v>
      </c>
      <c r="E64" s="55">
        <f t="shared" ref="E64:E77" si="111">D64/D$11</f>
        <v>6.618042310379893E-2</v>
      </c>
      <c r="F64" s="163">
        <v>373987</v>
      </c>
      <c r="G64" s="164">
        <f t="shared" ref="G64:G77" si="112">F64/F$11</f>
        <v>7.3156800229415175E-2</v>
      </c>
      <c r="H64" s="124">
        <f>386895+18253</f>
        <v>405148</v>
      </c>
      <c r="I64" s="55">
        <f t="shared" ref="I64:I77" si="113">H64/H$11</f>
        <v>7.4270930472790014E-2</v>
      </c>
      <c r="J64" s="163">
        <f>406285+20991</f>
        <v>427276</v>
      </c>
      <c r="K64" s="164">
        <f t="shared" ref="K64:K77" si="114">J64/J$11</f>
        <v>7.6462163777088726E-2</v>
      </c>
      <c r="L64" s="313">
        <f>442536+20366</f>
        <v>462902</v>
      </c>
      <c r="M64" s="213">
        <f t="shared" ref="M64:M77" si="115">L64/L$11</f>
        <v>9.0211377069064708E-2</v>
      </c>
      <c r="N64" s="520">
        <f>452751+36338</f>
        <v>489089</v>
      </c>
      <c r="O64" s="521">
        <f t="shared" ref="O64:O77" si="116">N64/N$11</f>
        <v>9.0030337832128951E-2</v>
      </c>
      <c r="P64" s="663">
        <f>471881+324</f>
        <v>472205</v>
      </c>
      <c r="Q64" s="368">
        <f t="shared" ref="Q64:Q77" si="117">P64/P$11</f>
        <v>8.1305495535562863E-2</v>
      </c>
      <c r="R64" s="520">
        <v>502045</v>
      </c>
      <c r="S64" s="521">
        <f t="shared" ref="S64:S77" si="118">R64/R$11</f>
        <v>9.4914387145282192E-2</v>
      </c>
      <c r="T64" s="367">
        <v>523417</v>
      </c>
      <c r="U64" s="368">
        <f t="shared" ref="U64:U77" si="119">T64/T$11</f>
        <v>0.10767203103091902</v>
      </c>
      <c r="V64" s="663">
        <f>36390+462504</f>
        <v>498894</v>
      </c>
      <c r="W64" s="871">
        <f t="shared" ref="W64:W77" si="120">V64/V$11</f>
        <v>9.2598198610212207E-2</v>
      </c>
      <c r="X64" s="890">
        <v>422613</v>
      </c>
      <c r="Y64" s="871">
        <f t="shared" ref="Y64:Y77" si="121">X64/X$11</f>
        <v>7.8507919841904111E-2</v>
      </c>
      <c r="Z64" s="1079">
        <v>486095</v>
      </c>
      <c r="AA64" s="1080">
        <f t="shared" ref="AA64:AA77" si="122">Z64/Z$11</f>
        <v>9.8699492385786805E-2</v>
      </c>
      <c r="AB64" s="1144">
        <f>Z64-AJ64</f>
        <v>-28710</v>
      </c>
      <c r="AC64" s="1136"/>
      <c r="AD64" s="557">
        <v>425154</v>
      </c>
      <c r="AE64" s="250">
        <f t="shared" ref="AE64:AE77" si="123">AD64/AD$11</f>
        <v>9.3389516617422452E-2</v>
      </c>
      <c r="AF64" s="781">
        <f t="shared" ref="AF64:AF76" si="124">AJ64*$AX$3</f>
        <v>427288.14999999997</v>
      </c>
      <c r="AG64" s="806">
        <f t="shared" ref="AG64:AG77" si="125">AF64/AF$11</f>
        <v>8.9778489124588176E-2</v>
      </c>
      <c r="AH64" s="1001">
        <f t="shared" ref="AH64:AH76" si="126">AD64-AF64</f>
        <v>-2134.1499999999651</v>
      </c>
      <c r="AI64" s="451">
        <f t="shared" ref="AI64:AI67" si="127">AH64/AF64</f>
        <v>-4.9946388637268904E-3</v>
      </c>
      <c r="AJ64" s="1079">
        <v>514805</v>
      </c>
      <c r="AK64" s="1080">
        <f t="shared" ref="AK64:AK77" si="128">AJ64/AJ$11</f>
        <v>9.6225233644859812E-2</v>
      </c>
      <c r="AL64" s="597">
        <v>513305</v>
      </c>
      <c r="AM64" s="598">
        <f t="shared" ref="AM64:AM77" si="129">AL64/AL$11</f>
        <v>9.1661607142857149E-2</v>
      </c>
      <c r="AN64" s="805">
        <v>513305</v>
      </c>
      <c r="AO64" s="806">
        <f t="shared" ref="AO64:AO77" si="130">AN64/AN$11</f>
        <v>9.1661607142857149E-2</v>
      </c>
      <c r="AP64" s="450">
        <f>$AD64-(AL64/12*$AX$1)</f>
        <v>-2600.1666666666279</v>
      </c>
      <c r="AQ64" s="451">
        <f t="shared" ref="AQ64:AQ76" si="131">AP64/AN64</f>
        <v>-5.0655393317162855E-3</v>
      </c>
      <c r="AR64" s="1124">
        <v>397335</v>
      </c>
      <c r="AS64" s="753">
        <f t="shared" ref="AS64:AS77" si="132">AR64/AR$11</f>
        <v>8.3370734602899232E-2</v>
      </c>
      <c r="AT64" s="902">
        <v>483231</v>
      </c>
      <c r="AU64" s="250">
        <f t="shared" ref="AU64:AU77" si="133">AT64/AT$11</f>
        <v>8.9986731905344952E-2</v>
      </c>
      <c r="AV64" s="450">
        <f t="shared" ref="AV64:AV76" si="134">AD64-AR64</f>
        <v>27819</v>
      </c>
      <c r="AW64" s="452">
        <f t="shared" ref="AW64:AW77" si="135">AV64/AR64</f>
        <v>7.0013968062214507E-2</v>
      </c>
    </row>
    <row r="65" spans="1:50" ht="18" hidden="1" customHeight="1" x14ac:dyDescent="0.25">
      <c r="A65" s="104">
        <v>2</v>
      </c>
      <c r="B65" s="107" t="s">
        <v>45</v>
      </c>
      <c r="C65" s="78" t="s">
        <v>199</v>
      </c>
      <c r="D65" s="56">
        <v>16887.13</v>
      </c>
      <c r="E65" s="57">
        <f t="shared" si="111"/>
        <v>3.2080206684985649E-3</v>
      </c>
      <c r="F65" s="167">
        <v>15659</v>
      </c>
      <c r="G65" s="166">
        <f t="shared" si="112"/>
        <v>3.0631073668133178E-3</v>
      </c>
      <c r="H65" s="126">
        <v>26157</v>
      </c>
      <c r="I65" s="57">
        <f t="shared" si="113"/>
        <v>4.795049533446465E-3</v>
      </c>
      <c r="J65" s="167">
        <v>20788</v>
      </c>
      <c r="K65" s="166">
        <f t="shared" si="114"/>
        <v>3.7200672647144245E-3</v>
      </c>
      <c r="L65" s="306">
        <v>20943</v>
      </c>
      <c r="M65" s="214">
        <f t="shared" si="115"/>
        <v>4.0814186803198567E-3</v>
      </c>
      <c r="N65" s="508">
        <v>22704</v>
      </c>
      <c r="O65" s="509">
        <f t="shared" si="116"/>
        <v>4.1792982261728553E-3</v>
      </c>
      <c r="P65" s="655">
        <v>17907</v>
      </c>
      <c r="Q65" s="356">
        <f t="shared" si="117"/>
        <v>3.0832742316479582E-3</v>
      </c>
      <c r="R65" s="508">
        <v>21041</v>
      </c>
      <c r="S65" s="509">
        <f t="shared" si="118"/>
        <v>3.9779175570394737E-3</v>
      </c>
      <c r="T65" s="355">
        <v>17402</v>
      </c>
      <c r="U65" s="356">
        <f t="shared" si="119"/>
        <v>3.5797627589475556E-3</v>
      </c>
      <c r="V65" s="655">
        <v>12621</v>
      </c>
      <c r="W65" s="860">
        <f t="shared" si="120"/>
        <v>2.3425454398318846E-3</v>
      </c>
      <c r="X65" s="656">
        <v>17455</v>
      </c>
      <c r="Y65" s="860">
        <f t="shared" si="121"/>
        <v>3.2425782946583189E-3</v>
      </c>
      <c r="Z65" s="1049">
        <v>17300</v>
      </c>
      <c r="AA65" s="1050">
        <f t="shared" si="122"/>
        <v>3.5126903553299492E-3</v>
      </c>
      <c r="AB65" s="1144">
        <f t="shared" ref="AB65:AB76" si="136">Z65-AJ65</f>
        <v>-700</v>
      </c>
      <c r="AC65" s="1131"/>
      <c r="AD65" s="421">
        <v>16670</v>
      </c>
      <c r="AE65" s="245">
        <f t="shared" si="123"/>
        <v>3.6617396096765699E-3</v>
      </c>
      <c r="AF65" s="781">
        <v>16700</v>
      </c>
      <c r="AG65" s="782">
        <f t="shared" si="125"/>
        <v>3.508875142876353E-3</v>
      </c>
      <c r="AH65" s="1001">
        <f t="shared" si="126"/>
        <v>-30</v>
      </c>
      <c r="AI65" s="451">
        <f t="shared" si="127"/>
        <v>-1.7964071856287425E-3</v>
      </c>
      <c r="AJ65" s="1049">
        <v>18000</v>
      </c>
      <c r="AK65" s="1050">
        <f t="shared" si="128"/>
        <v>3.3644859813084112E-3</v>
      </c>
      <c r="AL65" s="585">
        <v>18600</v>
      </c>
      <c r="AM65" s="586">
        <f t="shared" si="129"/>
        <v>3.3214285714285715E-3</v>
      </c>
      <c r="AN65" s="781">
        <v>18600</v>
      </c>
      <c r="AO65" s="782">
        <f t="shared" si="130"/>
        <v>3.3214285714285715E-3</v>
      </c>
      <c r="AP65" s="450">
        <f>$AD65-(AL65*$AX$10)</f>
        <v>2720</v>
      </c>
      <c r="AQ65" s="451">
        <f t="shared" si="131"/>
        <v>0.14623655913978495</v>
      </c>
      <c r="AR65" s="1123">
        <v>14248</v>
      </c>
      <c r="AS65" s="748">
        <f t="shared" si="132"/>
        <v>2.9895836677415991E-3</v>
      </c>
      <c r="AT65" s="894">
        <v>15226</v>
      </c>
      <c r="AU65" s="245">
        <f t="shared" si="133"/>
        <v>2.8353685504257427E-3</v>
      </c>
      <c r="AV65" s="450">
        <f t="shared" si="134"/>
        <v>2422</v>
      </c>
      <c r="AW65" s="452">
        <f t="shared" si="135"/>
        <v>0.16998877035373386</v>
      </c>
      <c r="AX65" s="266" t="s">
        <v>330</v>
      </c>
    </row>
    <row r="66" spans="1:50" ht="18" hidden="1" customHeight="1" x14ac:dyDescent="0.25">
      <c r="A66" s="104">
        <v>3</v>
      </c>
      <c r="B66" s="107" t="s">
        <v>46</v>
      </c>
      <c r="C66" s="78" t="s">
        <v>35</v>
      </c>
      <c r="D66" s="56">
        <v>9971</v>
      </c>
      <c r="E66" s="57">
        <f t="shared" si="111"/>
        <v>1.8941746812868253E-3</v>
      </c>
      <c r="F66" s="167">
        <v>4525</v>
      </c>
      <c r="G66" s="166">
        <f t="shared" si="112"/>
        <v>8.8514980744812974E-4</v>
      </c>
      <c r="H66" s="126">
        <v>8750</v>
      </c>
      <c r="I66" s="57">
        <f t="shared" si="113"/>
        <v>1.6040327032020708E-3</v>
      </c>
      <c r="J66" s="167">
        <v>6350</v>
      </c>
      <c r="K66" s="166">
        <f t="shared" si="114"/>
        <v>1.1363491981401096E-3</v>
      </c>
      <c r="L66" s="306">
        <v>5757</v>
      </c>
      <c r="M66" s="214">
        <f t="shared" si="115"/>
        <v>1.1219370358879536E-3</v>
      </c>
      <c r="N66" s="508">
        <v>5050</v>
      </c>
      <c r="O66" s="509">
        <f t="shared" si="116"/>
        <v>9.2959196803087205E-4</v>
      </c>
      <c r="P66" s="655">
        <v>4100</v>
      </c>
      <c r="Q66" s="356">
        <f t="shared" si="117"/>
        <v>7.0594875466335109E-4</v>
      </c>
      <c r="R66" s="508">
        <v>3875</v>
      </c>
      <c r="S66" s="509">
        <f t="shared" si="118"/>
        <v>7.3259020643163153E-4</v>
      </c>
      <c r="T66" s="355">
        <v>2925</v>
      </c>
      <c r="U66" s="356">
        <f t="shared" si="119"/>
        <v>6.0170130271931961E-4</v>
      </c>
      <c r="V66" s="655">
        <v>3525</v>
      </c>
      <c r="W66" s="860">
        <f t="shared" si="120"/>
        <v>6.5426453334976572E-4</v>
      </c>
      <c r="X66" s="656">
        <v>3625</v>
      </c>
      <c r="Y66" s="860">
        <f t="shared" si="121"/>
        <v>6.7340855446212586E-4</v>
      </c>
      <c r="Z66" s="1049">
        <v>2500</v>
      </c>
      <c r="AA66" s="1050">
        <f t="shared" si="122"/>
        <v>5.0761421319796957E-4</v>
      </c>
      <c r="AB66" s="1144">
        <f t="shared" si="136"/>
        <v>0</v>
      </c>
      <c r="AC66" s="1131"/>
      <c r="AD66" s="421">
        <v>2875</v>
      </c>
      <c r="AE66" s="245">
        <f t="shared" si="123"/>
        <v>6.315237779136256E-4</v>
      </c>
      <c r="AF66" s="781">
        <f t="shared" si="124"/>
        <v>2075</v>
      </c>
      <c r="AG66" s="782">
        <f t="shared" si="125"/>
        <v>4.3598298930948699E-4</v>
      </c>
      <c r="AH66" s="1001">
        <f t="shared" si="126"/>
        <v>800</v>
      </c>
      <c r="AI66" s="451">
        <f t="shared" si="127"/>
        <v>0.38554216867469882</v>
      </c>
      <c r="AJ66" s="1049">
        <v>2500</v>
      </c>
      <c r="AK66" s="1050">
        <f t="shared" si="128"/>
        <v>4.6728971962616824E-4</v>
      </c>
      <c r="AL66" s="585">
        <v>3750</v>
      </c>
      <c r="AM66" s="586">
        <f t="shared" si="129"/>
        <v>6.6964285714285715E-4</v>
      </c>
      <c r="AN66" s="781">
        <v>3750</v>
      </c>
      <c r="AO66" s="782">
        <f t="shared" si="130"/>
        <v>6.6964285714285715E-4</v>
      </c>
      <c r="AP66" s="450">
        <f t="shared" ref="AP66:AP76" si="137">$AD66-(AL66/12*$AX$1)</f>
        <v>-250</v>
      </c>
      <c r="AQ66" s="451">
        <f t="shared" si="131"/>
        <v>-6.6666666666666666E-2</v>
      </c>
      <c r="AR66" s="1123">
        <v>1050</v>
      </c>
      <c r="AS66" s="748">
        <f t="shared" si="132"/>
        <v>2.2031603390852605E-4</v>
      </c>
      <c r="AT66" s="894">
        <v>2150</v>
      </c>
      <c r="AU66" s="245">
        <f t="shared" si="133"/>
        <v>4.0037057555597971E-4</v>
      </c>
      <c r="AV66" s="450">
        <f t="shared" si="134"/>
        <v>1825</v>
      </c>
      <c r="AW66" s="452">
        <f t="shared" si="135"/>
        <v>1.7380952380952381</v>
      </c>
    </row>
    <row r="67" spans="1:50" ht="18" hidden="1" customHeight="1" x14ac:dyDescent="0.25">
      <c r="A67" s="106">
        <v>4</v>
      </c>
      <c r="B67" s="107" t="s">
        <v>47</v>
      </c>
      <c r="C67" s="78" t="s">
        <v>202</v>
      </c>
      <c r="D67" s="56">
        <v>32533</v>
      </c>
      <c r="E67" s="57">
        <f t="shared" si="111"/>
        <v>6.1802411900816661E-3</v>
      </c>
      <c r="F67" s="167">
        <v>32441</v>
      </c>
      <c r="G67" s="166">
        <f t="shared" si="112"/>
        <v>6.3458883764474644E-3</v>
      </c>
      <c r="H67" s="126">
        <v>37133</v>
      </c>
      <c r="I67" s="57">
        <f t="shared" si="113"/>
        <v>6.8071481563431431E-3</v>
      </c>
      <c r="J67" s="167">
        <v>34062</v>
      </c>
      <c r="K67" s="166">
        <f t="shared" si="114"/>
        <v>6.0954844704013246E-3</v>
      </c>
      <c r="L67" s="306">
        <v>38079</v>
      </c>
      <c r="M67" s="214">
        <f t="shared" si="115"/>
        <v>7.420920686047835E-3</v>
      </c>
      <c r="N67" s="508">
        <v>36632</v>
      </c>
      <c r="O67" s="509">
        <f t="shared" si="116"/>
        <v>6.7431312817637437E-3</v>
      </c>
      <c r="P67" s="655">
        <v>35202</v>
      </c>
      <c r="Q67" s="356">
        <f t="shared" si="117"/>
        <v>6.0611726979656793E-3</v>
      </c>
      <c r="R67" s="508">
        <v>43136</v>
      </c>
      <c r="S67" s="509">
        <f t="shared" si="118"/>
        <v>8.1550996502283511E-3</v>
      </c>
      <c r="T67" s="355">
        <v>35157</v>
      </c>
      <c r="U67" s="356">
        <f t="shared" si="119"/>
        <v>7.2321410939155967E-3</v>
      </c>
      <c r="V67" s="655">
        <v>31010</v>
      </c>
      <c r="W67" s="860">
        <f t="shared" si="120"/>
        <v>5.7556718238797834E-3</v>
      </c>
      <c r="X67" s="656">
        <v>30370</v>
      </c>
      <c r="Y67" s="860">
        <f t="shared" si="121"/>
        <v>5.6417704273144173E-3</v>
      </c>
      <c r="Z67" s="1049">
        <v>34000</v>
      </c>
      <c r="AA67" s="1050">
        <f t="shared" si="122"/>
        <v>6.9035532994923855E-3</v>
      </c>
      <c r="AB67" s="1144">
        <f t="shared" si="136"/>
        <v>-2000</v>
      </c>
      <c r="AC67" s="1131"/>
      <c r="AD67" s="421">
        <v>29625</v>
      </c>
      <c r="AE67" s="245">
        <f t="shared" si="123"/>
        <v>6.507440668066489E-3</v>
      </c>
      <c r="AF67" s="781">
        <f t="shared" si="124"/>
        <v>29880</v>
      </c>
      <c r="AG67" s="782">
        <f t="shared" si="125"/>
        <v>6.2781550460566131E-3</v>
      </c>
      <c r="AH67" s="1001">
        <f t="shared" si="126"/>
        <v>-255</v>
      </c>
      <c r="AI67" s="451">
        <f t="shared" si="127"/>
        <v>-8.5341365461847393E-3</v>
      </c>
      <c r="AJ67" s="1049">
        <v>36000</v>
      </c>
      <c r="AK67" s="1050">
        <f t="shared" si="128"/>
        <v>6.7289719626168224E-3</v>
      </c>
      <c r="AL67" s="585">
        <v>36000</v>
      </c>
      <c r="AM67" s="586">
        <f t="shared" si="129"/>
        <v>6.4285714285714285E-3</v>
      </c>
      <c r="AN67" s="781">
        <v>36000</v>
      </c>
      <c r="AO67" s="782">
        <f t="shared" si="130"/>
        <v>6.4285714285714285E-3</v>
      </c>
      <c r="AP67" s="450">
        <f t="shared" si="137"/>
        <v>-375</v>
      </c>
      <c r="AQ67" s="451">
        <f t="shared" si="131"/>
        <v>-1.0416666666666666E-2</v>
      </c>
      <c r="AR67" s="1123">
        <v>31286</v>
      </c>
      <c r="AS67" s="748">
        <f t="shared" si="132"/>
        <v>6.564578511297282E-3</v>
      </c>
      <c r="AT67" s="894">
        <v>38686</v>
      </c>
      <c r="AU67" s="245">
        <f t="shared" si="133"/>
        <v>7.2040632957947126E-3</v>
      </c>
      <c r="AV67" s="450">
        <f t="shared" si="134"/>
        <v>-1661</v>
      </c>
      <c r="AW67" s="452">
        <f t="shared" si="135"/>
        <v>-5.3090839353065272E-2</v>
      </c>
    </row>
    <row r="68" spans="1:50" ht="18" hidden="1" customHeight="1" x14ac:dyDescent="0.25">
      <c r="A68" s="104">
        <v>5</v>
      </c>
      <c r="B68" s="107" t="s">
        <v>49</v>
      </c>
      <c r="C68" s="78" t="s">
        <v>203</v>
      </c>
      <c r="D68" s="56">
        <v>1114</v>
      </c>
      <c r="E68" s="57">
        <f t="shared" si="111"/>
        <v>2.1162477133221578E-4</v>
      </c>
      <c r="F68" s="167">
        <v>2023</v>
      </c>
      <c r="G68" s="166">
        <f t="shared" si="112"/>
        <v>3.9572553822487654E-4</v>
      </c>
      <c r="H68" s="126">
        <v>2119</v>
      </c>
      <c r="I68" s="57">
        <f t="shared" si="113"/>
        <v>3.8845089120973582E-4</v>
      </c>
      <c r="J68" s="167">
        <v>3549</v>
      </c>
      <c r="K68" s="166">
        <f t="shared" si="114"/>
        <v>6.3510288255106274E-4</v>
      </c>
      <c r="L68" s="306">
        <v>3051</v>
      </c>
      <c r="M68" s="214">
        <f t="shared" si="115"/>
        <v>5.9458570375093742E-4</v>
      </c>
      <c r="N68" s="508">
        <v>2658</v>
      </c>
      <c r="O68" s="509">
        <f t="shared" si="116"/>
        <v>4.8927830713387281E-4</v>
      </c>
      <c r="P68" s="655">
        <v>2568</v>
      </c>
      <c r="Q68" s="356">
        <f t="shared" si="117"/>
        <v>4.4216497609158185E-4</v>
      </c>
      <c r="R68" s="508">
        <v>2497</v>
      </c>
      <c r="S68" s="509">
        <f t="shared" si="118"/>
        <v>4.7207167624768617E-4</v>
      </c>
      <c r="T68" s="355">
        <v>2342</v>
      </c>
      <c r="U68" s="356">
        <f t="shared" si="119"/>
        <v>4.8177246186962273E-4</v>
      </c>
      <c r="V68" s="655">
        <v>1758</v>
      </c>
      <c r="W68" s="860">
        <f t="shared" si="120"/>
        <v>3.2629703535571296E-4</v>
      </c>
      <c r="X68" s="656">
        <v>1167</v>
      </c>
      <c r="Y68" s="860">
        <f t="shared" si="121"/>
        <v>2.1679111256753126E-4</v>
      </c>
      <c r="Z68" s="1049">
        <v>1000</v>
      </c>
      <c r="AA68" s="1050">
        <f t="shared" si="122"/>
        <v>2.0304568527918781E-4</v>
      </c>
      <c r="AB68" s="1144">
        <f t="shared" si="136"/>
        <v>0</v>
      </c>
      <c r="AC68" s="1131"/>
      <c r="AD68" s="421">
        <v>446</v>
      </c>
      <c r="AE68" s="245">
        <f t="shared" si="123"/>
        <v>9.7968558243296351E-5</v>
      </c>
      <c r="AF68" s="781">
        <f t="shared" si="124"/>
        <v>830</v>
      </c>
      <c r="AG68" s="782">
        <f t="shared" si="125"/>
        <v>1.7439319572379479E-4</v>
      </c>
      <c r="AH68" s="1001">
        <f t="shared" si="126"/>
        <v>-384</v>
      </c>
      <c r="AI68" s="451">
        <f>AH68/AF68</f>
        <v>-0.46265060240963857</v>
      </c>
      <c r="AJ68" s="1049">
        <v>1000</v>
      </c>
      <c r="AK68" s="1050">
        <f t="shared" si="128"/>
        <v>1.8691588785046728E-4</v>
      </c>
      <c r="AL68" s="585">
        <v>2000</v>
      </c>
      <c r="AM68" s="586">
        <f t="shared" si="129"/>
        <v>3.5714285714285714E-4</v>
      </c>
      <c r="AN68" s="781">
        <v>2000</v>
      </c>
      <c r="AO68" s="782">
        <f t="shared" si="130"/>
        <v>3.5714285714285714E-4</v>
      </c>
      <c r="AP68" s="450">
        <f t="shared" si="137"/>
        <v>-1220.6666666666665</v>
      </c>
      <c r="AQ68" s="451">
        <f>AP68/AN68</f>
        <v>-0.61033333333333328</v>
      </c>
      <c r="AR68" s="1123">
        <v>832</v>
      </c>
      <c r="AS68" s="748">
        <f t="shared" si="132"/>
        <v>1.7457422877323206E-4</v>
      </c>
      <c r="AT68" s="894">
        <v>852</v>
      </c>
      <c r="AU68" s="245">
        <f t="shared" si="133"/>
        <v>1.5865847924357893E-4</v>
      </c>
      <c r="AV68" s="450">
        <f t="shared" si="134"/>
        <v>-386</v>
      </c>
      <c r="AW68" s="452">
        <f t="shared" si="135"/>
        <v>-0.46394230769230771</v>
      </c>
    </row>
    <row r="69" spans="1:50" ht="18" hidden="1" customHeight="1" x14ac:dyDescent="0.25">
      <c r="A69" s="106">
        <v>6</v>
      </c>
      <c r="B69" s="107" t="s">
        <v>48</v>
      </c>
      <c r="C69" s="78" t="s">
        <v>190</v>
      </c>
      <c r="D69" s="56">
        <v>2697</v>
      </c>
      <c r="E69" s="57">
        <f t="shared" si="111"/>
        <v>5.1234471120555286E-4</v>
      </c>
      <c r="F69" s="167">
        <v>2610</v>
      </c>
      <c r="G69" s="166">
        <f t="shared" si="112"/>
        <v>5.1055049667173892E-4</v>
      </c>
      <c r="H69" s="126">
        <v>3323</v>
      </c>
      <c r="I69" s="57">
        <f t="shared" si="113"/>
        <v>6.0916579117034078E-4</v>
      </c>
      <c r="J69" s="167">
        <v>3572</v>
      </c>
      <c r="K69" s="166">
        <f t="shared" si="114"/>
        <v>6.3921879303251519E-4</v>
      </c>
      <c r="L69" s="306">
        <v>2501</v>
      </c>
      <c r="M69" s="214">
        <f t="shared" si="115"/>
        <v>4.8740047364178777E-4</v>
      </c>
      <c r="N69" s="508">
        <v>1601</v>
      </c>
      <c r="O69" s="509">
        <f t="shared" si="116"/>
        <v>2.9470826550840121E-4</v>
      </c>
      <c r="P69" s="655">
        <v>3321</v>
      </c>
      <c r="Q69" s="356">
        <f t="shared" si="117"/>
        <v>5.7181849127731438E-4</v>
      </c>
      <c r="R69" s="508">
        <v>3850</v>
      </c>
      <c r="S69" s="509">
        <f t="shared" si="118"/>
        <v>7.2786381800304034E-4</v>
      </c>
      <c r="T69" s="355">
        <v>3019</v>
      </c>
      <c r="U69" s="356">
        <f t="shared" si="119"/>
        <v>6.2103802834517123E-4</v>
      </c>
      <c r="V69" s="655">
        <v>3764</v>
      </c>
      <c r="W69" s="860">
        <f t="shared" si="120"/>
        <v>6.9862459674567892E-4</v>
      </c>
      <c r="X69" s="656">
        <v>3223</v>
      </c>
      <c r="Y69" s="860">
        <f t="shared" si="121"/>
        <v>5.9872986787073978E-4</v>
      </c>
      <c r="Z69" s="1049">
        <v>3500</v>
      </c>
      <c r="AA69" s="1050">
        <f t="shared" si="122"/>
        <v>7.1065989847715735E-4</v>
      </c>
      <c r="AB69" s="1144">
        <f t="shared" si="136"/>
        <v>0</v>
      </c>
      <c r="AC69" s="1131"/>
      <c r="AD69" s="421">
        <v>4081</v>
      </c>
      <c r="AE69" s="245">
        <f t="shared" si="123"/>
        <v>8.9643427397061073E-4</v>
      </c>
      <c r="AF69" s="781">
        <f t="shared" si="124"/>
        <v>2905</v>
      </c>
      <c r="AG69" s="782">
        <f t="shared" si="125"/>
        <v>6.1037618503328181E-4</v>
      </c>
      <c r="AH69" s="1001">
        <f t="shared" si="126"/>
        <v>1176</v>
      </c>
      <c r="AI69" s="451">
        <f t="shared" ref="AI69:AI76" si="138">AH69/AF69</f>
        <v>0.40481927710843374</v>
      </c>
      <c r="AJ69" s="1049">
        <v>3500</v>
      </c>
      <c r="AK69" s="1050">
        <f t="shared" si="128"/>
        <v>6.5420560747663555E-4</v>
      </c>
      <c r="AL69" s="585">
        <v>3250</v>
      </c>
      <c r="AM69" s="586">
        <f t="shared" si="129"/>
        <v>5.8035714285714288E-4</v>
      </c>
      <c r="AN69" s="781">
        <v>3250</v>
      </c>
      <c r="AO69" s="782">
        <f t="shared" si="130"/>
        <v>5.8035714285714288E-4</v>
      </c>
      <c r="AP69" s="450">
        <f t="shared" si="137"/>
        <v>1372.666666666667</v>
      </c>
      <c r="AQ69" s="451">
        <f t="shared" si="131"/>
        <v>0.42235897435897446</v>
      </c>
      <c r="AR69" s="1123">
        <v>3139</v>
      </c>
      <c r="AS69" s="748">
        <f t="shared" si="132"/>
        <v>6.5864002898939362E-4</v>
      </c>
      <c r="AT69" s="894">
        <v>3494</v>
      </c>
      <c r="AU69" s="245">
        <f t="shared" si="133"/>
        <v>6.506487399965549E-4</v>
      </c>
      <c r="AV69" s="450">
        <f t="shared" si="134"/>
        <v>942</v>
      </c>
      <c r="AW69" s="452">
        <f t="shared" si="135"/>
        <v>0.30009557183816504</v>
      </c>
    </row>
    <row r="70" spans="1:50" ht="18" hidden="1" customHeight="1" x14ac:dyDescent="0.25">
      <c r="A70" s="956">
        <v>7</v>
      </c>
      <c r="B70" s="107" t="s">
        <v>50</v>
      </c>
      <c r="C70" s="78" t="s">
        <v>192</v>
      </c>
      <c r="D70" s="56">
        <v>25502</v>
      </c>
      <c r="E70" s="57">
        <f t="shared" si="111"/>
        <v>4.8445735354705269E-3</v>
      </c>
      <c r="F70" s="167">
        <v>23178</v>
      </c>
      <c r="G70" s="166">
        <f t="shared" si="112"/>
        <v>4.5339231463055801E-3</v>
      </c>
      <c r="H70" s="126">
        <v>22665</v>
      </c>
      <c r="I70" s="57">
        <f t="shared" si="113"/>
        <v>4.1549029963514218E-3</v>
      </c>
      <c r="J70" s="167">
        <v>22407</v>
      </c>
      <c r="K70" s="166">
        <f t="shared" si="114"/>
        <v>4.0097915720827453E-3</v>
      </c>
      <c r="L70" s="306">
        <v>25686</v>
      </c>
      <c r="M70" s="214">
        <f t="shared" si="115"/>
        <v>5.0057451283338503E-3</v>
      </c>
      <c r="N70" s="508">
        <v>26297</v>
      </c>
      <c r="O70" s="509">
        <f t="shared" si="116"/>
        <v>4.8406891056055135E-3</v>
      </c>
      <c r="P70" s="655">
        <v>23483</v>
      </c>
      <c r="Q70" s="356">
        <f t="shared" si="117"/>
        <v>4.0433645379901158E-3</v>
      </c>
      <c r="R70" s="508">
        <v>34595</v>
      </c>
      <c r="S70" s="509">
        <f t="shared" si="118"/>
        <v>6.5403763074844629E-3</v>
      </c>
      <c r="T70" s="355">
        <v>30495</v>
      </c>
      <c r="U70" s="356">
        <f t="shared" si="119"/>
        <v>6.2731217868121887E-3</v>
      </c>
      <c r="V70" s="655">
        <v>30461</v>
      </c>
      <c r="W70" s="860">
        <f t="shared" si="120"/>
        <v>5.6537736029410538E-3</v>
      </c>
      <c r="X70" s="656">
        <v>27518</v>
      </c>
      <c r="Y70" s="860">
        <f t="shared" si="121"/>
        <v>5.1119604418451807E-3</v>
      </c>
      <c r="Z70" s="1049">
        <f>38000-4000</f>
        <v>34000</v>
      </c>
      <c r="AA70" s="1050">
        <f t="shared" si="122"/>
        <v>6.9035532994923855E-3</v>
      </c>
      <c r="AB70" s="1144">
        <f t="shared" si="136"/>
        <v>0</v>
      </c>
      <c r="AC70" s="1131"/>
      <c r="AD70" s="421">
        <v>35208</v>
      </c>
      <c r="AE70" s="245">
        <f t="shared" si="123"/>
        <v>7.7338049296636277E-3</v>
      </c>
      <c r="AF70" s="781">
        <v>32500</v>
      </c>
      <c r="AG70" s="782">
        <f t="shared" si="125"/>
        <v>6.8286492301485912E-3</v>
      </c>
      <c r="AH70" s="1001">
        <f t="shared" si="126"/>
        <v>2708</v>
      </c>
      <c r="AI70" s="451">
        <f t="shared" si="138"/>
        <v>8.3323076923076916E-2</v>
      </c>
      <c r="AJ70" s="1049">
        <v>34000</v>
      </c>
      <c r="AK70" s="1050">
        <f t="shared" si="128"/>
        <v>6.3551401869158877E-3</v>
      </c>
      <c r="AL70" s="585">
        <v>34000</v>
      </c>
      <c r="AM70" s="586">
        <f t="shared" si="129"/>
        <v>6.0714285714285714E-3</v>
      </c>
      <c r="AN70" s="781">
        <v>34000</v>
      </c>
      <c r="AO70" s="782">
        <f t="shared" si="130"/>
        <v>6.0714285714285714E-3</v>
      </c>
      <c r="AP70" s="450">
        <f t="shared" si="137"/>
        <v>6874.6666666666642</v>
      </c>
      <c r="AQ70" s="451">
        <f t="shared" si="131"/>
        <v>0.20219607843137247</v>
      </c>
      <c r="AR70" s="1029">
        <v>31189</v>
      </c>
      <c r="AS70" s="748">
        <f t="shared" si="132"/>
        <v>6.5442255062600182E-3</v>
      </c>
      <c r="AT70" s="894">
        <v>39165</v>
      </c>
      <c r="AU70" s="245">
        <f t="shared" si="133"/>
        <v>7.2932621356511379E-3</v>
      </c>
      <c r="AV70" s="450">
        <f t="shared" si="134"/>
        <v>4019</v>
      </c>
      <c r="AW70" s="452">
        <f t="shared" si="135"/>
        <v>0.12885953380999712</v>
      </c>
    </row>
    <row r="71" spans="1:50" ht="18" hidden="1" customHeight="1" x14ac:dyDescent="0.25">
      <c r="A71" s="957">
        <v>8</v>
      </c>
      <c r="B71" s="107" t="s">
        <v>51</v>
      </c>
      <c r="C71" s="78" t="s">
        <v>193</v>
      </c>
      <c r="D71" s="56">
        <v>5809</v>
      </c>
      <c r="E71" s="57">
        <f t="shared" si="111"/>
        <v>1.1035262986255308E-3</v>
      </c>
      <c r="F71" s="167">
        <v>7105</v>
      </c>
      <c r="G71" s="166">
        <f t="shared" si="112"/>
        <v>1.3898319076064004E-3</v>
      </c>
      <c r="H71" s="126">
        <v>6997</v>
      </c>
      <c r="I71" s="57">
        <f t="shared" si="113"/>
        <v>1.2826762084919875E-3</v>
      </c>
      <c r="J71" s="167">
        <v>7318</v>
      </c>
      <c r="K71" s="166">
        <f t="shared" si="114"/>
        <v>1.3095753436203656E-3</v>
      </c>
      <c r="L71" s="306">
        <v>7562</v>
      </c>
      <c r="M71" s="214">
        <f t="shared" si="115"/>
        <v>1.4736994728825265E-3</v>
      </c>
      <c r="N71" s="508">
        <v>5417</v>
      </c>
      <c r="O71" s="509">
        <f t="shared" si="116"/>
        <v>9.9714845362836317E-4</v>
      </c>
      <c r="P71" s="655">
        <v>7505</v>
      </c>
      <c r="Q71" s="356">
        <f t="shared" si="117"/>
        <v>1.2922305862801099E-3</v>
      </c>
      <c r="R71" s="508">
        <v>9512</v>
      </c>
      <c r="S71" s="509">
        <f t="shared" si="118"/>
        <v>1.7982962693103689E-3</v>
      </c>
      <c r="T71" s="355">
        <v>7996</v>
      </c>
      <c r="U71" s="356">
        <f t="shared" si="119"/>
        <v>1.6448559372798904E-3</v>
      </c>
      <c r="V71" s="655">
        <v>6762</v>
      </c>
      <c r="W71" s="860">
        <f t="shared" si="120"/>
        <v>1.2550742622726571E-3</v>
      </c>
      <c r="X71" s="656">
        <v>6527</v>
      </c>
      <c r="Y71" s="860">
        <f t="shared" si="121"/>
        <v>1.2125069337860124E-3</v>
      </c>
      <c r="Z71" s="1049">
        <v>8000</v>
      </c>
      <c r="AA71" s="1050">
        <f t="shared" si="122"/>
        <v>1.6243654822335025E-3</v>
      </c>
      <c r="AB71" s="1144">
        <f t="shared" si="136"/>
        <v>0</v>
      </c>
      <c r="AC71" s="1131"/>
      <c r="AD71" s="421">
        <v>6465</v>
      </c>
      <c r="AE71" s="245">
        <f t="shared" si="123"/>
        <v>1.4201047736388135E-3</v>
      </c>
      <c r="AF71" s="781">
        <f t="shared" si="124"/>
        <v>6640</v>
      </c>
      <c r="AG71" s="782">
        <f t="shared" si="125"/>
        <v>1.3951455657903583E-3</v>
      </c>
      <c r="AH71" s="1001">
        <f t="shared" si="126"/>
        <v>-175</v>
      </c>
      <c r="AI71" s="451">
        <f t="shared" si="138"/>
        <v>-2.635542168674699E-2</v>
      </c>
      <c r="AJ71" s="1049">
        <v>8000</v>
      </c>
      <c r="AK71" s="1050">
        <f t="shared" si="128"/>
        <v>1.4953271028037382E-3</v>
      </c>
      <c r="AL71" s="585">
        <v>6800</v>
      </c>
      <c r="AM71" s="586">
        <f t="shared" si="129"/>
        <v>1.2142857142857142E-3</v>
      </c>
      <c r="AN71" s="781">
        <v>6800</v>
      </c>
      <c r="AO71" s="782">
        <f t="shared" si="130"/>
        <v>1.2142857142857142E-3</v>
      </c>
      <c r="AP71" s="450">
        <f t="shared" si="137"/>
        <v>798.33333333333394</v>
      </c>
      <c r="AQ71" s="451">
        <f t="shared" si="131"/>
        <v>0.11740196078431381</v>
      </c>
      <c r="AR71" s="1029">
        <v>7106</v>
      </c>
      <c r="AS71" s="748">
        <f t="shared" si="132"/>
        <v>1.4910149875752249E-3</v>
      </c>
      <c r="AT71" s="894">
        <v>8004</v>
      </c>
      <c r="AU71" s="245">
        <f t="shared" si="133"/>
        <v>1.4904958543023542E-3</v>
      </c>
      <c r="AV71" s="450">
        <f t="shared" si="134"/>
        <v>-641</v>
      </c>
      <c r="AW71" s="452">
        <f t="shared" si="135"/>
        <v>-9.0205460174500415E-2</v>
      </c>
    </row>
    <row r="72" spans="1:50" ht="18" hidden="1" customHeight="1" x14ac:dyDescent="0.25">
      <c r="A72" s="956">
        <v>9</v>
      </c>
      <c r="B72" s="107" t="s">
        <v>52</v>
      </c>
      <c r="C72" s="78" t="s">
        <v>194</v>
      </c>
      <c r="D72" s="56">
        <v>2046</v>
      </c>
      <c r="E72" s="57">
        <f t="shared" si="111"/>
        <v>3.8867529815593668E-4</v>
      </c>
      <c r="F72" s="167">
        <v>1478</v>
      </c>
      <c r="G72" s="166">
        <f t="shared" si="112"/>
        <v>2.891163348968698E-4</v>
      </c>
      <c r="H72" s="126">
        <v>2401</v>
      </c>
      <c r="I72" s="57">
        <f t="shared" si="113"/>
        <v>4.4014657375864827E-4</v>
      </c>
      <c r="J72" s="167">
        <v>2945</v>
      </c>
      <c r="K72" s="166">
        <f t="shared" si="114"/>
        <v>5.2701549425553107E-4</v>
      </c>
      <c r="L72" s="306">
        <v>1936</v>
      </c>
      <c r="M72" s="214">
        <f t="shared" si="115"/>
        <v>3.7729200998420676E-4</v>
      </c>
      <c r="N72" s="508">
        <v>1468</v>
      </c>
      <c r="O72" s="509">
        <f t="shared" si="116"/>
        <v>2.7022594238996437E-4</v>
      </c>
      <c r="P72" s="655">
        <v>1795</v>
      </c>
      <c r="Q72" s="356">
        <f t="shared" si="117"/>
        <v>3.0906780844407687E-4</v>
      </c>
      <c r="R72" s="508">
        <v>2836</v>
      </c>
      <c r="S72" s="509">
        <f t="shared" si="118"/>
        <v>5.3616150333938249E-4</v>
      </c>
      <c r="T72" s="355">
        <v>1229</v>
      </c>
      <c r="U72" s="356">
        <f t="shared" si="119"/>
        <v>2.5281740206565601E-4</v>
      </c>
      <c r="V72" s="655">
        <v>784</v>
      </c>
      <c r="W72" s="860">
        <f t="shared" si="120"/>
        <v>1.4551585649538051E-4</v>
      </c>
      <c r="X72" s="656">
        <v>914</v>
      </c>
      <c r="Y72" s="860">
        <f t="shared" si="121"/>
        <v>1.6979183966300221E-4</v>
      </c>
      <c r="Z72" s="1049">
        <v>1800</v>
      </c>
      <c r="AA72" s="1050">
        <f t="shared" si="122"/>
        <v>3.6548223350253809E-4</v>
      </c>
      <c r="AB72" s="1144">
        <f t="shared" si="136"/>
        <v>0</v>
      </c>
      <c r="AC72" s="1131"/>
      <c r="AD72" s="421">
        <v>1481</v>
      </c>
      <c r="AE72" s="245">
        <f t="shared" si="123"/>
        <v>3.2531711829220154E-4</v>
      </c>
      <c r="AF72" s="781">
        <f t="shared" si="124"/>
        <v>1494</v>
      </c>
      <c r="AG72" s="782">
        <f t="shared" si="125"/>
        <v>3.1390775230283064E-4</v>
      </c>
      <c r="AH72" s="1001">
        <f t="shared" si="126"/>
        <v>-13</v>
      </c>
      <c r="AI72" s="451">
        <f t="shared" si="138"/>
        <v>-8.7014725568942443E-3</v>
      </c>
      <c r="AJ72" s="1049">
        <v>1800</v>
      </c>
      <c r="AK72" s="1050">
        <f t="shared" si="128"/>
        <v>3.3644859813084112E-4</v>
      </c>
      <c r="AL72" s="585">
        <v>1000</v>
      </c>
      <c r="AM72" s="586">
        <f t="shared" si="129"/>
        <v>1.7857142857142857E-4</v>
      </c>
      <c r="AN72" s="781">
        <v>1000</v>
      </c>
      <c r="AO72" s="782">
        <f t="shared" si="130"/>
        <v>1.7857142857142857E-4</v>
      </c>
      <c r="AP72" s="450">
        <f t="shared" si="137"/>
        <v>647.66666666666674</v>
      </c>
      <c r="AQ72" s="451">
        <f t="shared" si="131"/>
        <v>0.64766666666666672</v>
      </c>
      <c r="AR72" s="1029">
        <v>1263</v>
      </c>
      <c r="AS72" s="748">
        <f t="shared" si="132"/>
        <v>2.6500871507282702E-4</v>
      </c>
      <c r="AT72" s="894">
        <v>1358</v>
      </c>
      <c r="AU72" s="245">
        <f t="shared" si="133"/>
        <v>2.5288522865349788E-4</v>
      </c>
      <c r="AV72" s="450">
        <f t="shared" si="134"/>
        <v>218</v>
      </c>
      <c r="AW72" s="452">
        <f t="shared" si="135"/>
        <v>0.17260490894695171</v>
      </c>
    </row>
    <row r="73" spans="1:50" ht="18" hidden="1" customHeight="1" x14ac:dyDescent="0.25">
      <c r="A73" s="957">
        <v>10</v>
      </c>
      <c r="B73" s="107" t="s">
        <v>270</v>
      </c>
      <c r="C73" s="78" t="s">
        <v>226</v>
      </c>
      <c r="D73" s="56">
        <v>0</v>
      </c>
      <c r="E73" s="57">
        <f t="shared" si="111"/>
        <v>0</v>
      </c>
      <c r="F73" s="167">
        <v>63</v>
      </c>
      <c r="G73" s="166">
        <f t="shared" si="112"/>
        <v>1.2323632678283353E-5</v>
      </c>
      <c r="H73" s="126">
        <v>0</v>
      </c>
      <c r="I73" s="57">
        <f t="shared" si="113"/>
        <v>0</v>
      </c>
      <c r="J73" s="167">
        <f>652+534</f>
        <v>1186</v>
      </c>
      <c r="K73" s="166">
        <f t="shared" si="114"/>
        <v>2.1223781873923935E-4</v>
      </c>
      <c r="L73" s="306">
        <v>1003</v>
      </c>
      <c r="M73" s="214">
        <f t="shared" si="115"/>
        <v>1.9546688327177654E-4</v>
      </c>
      <c r="N73" s="508">
        <v>819</v>
      </c>
      <c r="O73" s="509">
        <f t="shared" si="116"/>
        <v>1.5075956867668995E-4</v>
      </c>
      <c r="P73" s="655">
        <v>936</v>
      </c>
      <c r="Q73" s="356">
        <f t="shared" si="117"/>
        <v>1.6116293521095039E-4</v>
      </c>
      <c r="R73" s="508">
        <f>654+70</f>
        <v>724</v>
      </c>
      <c r="S73" s="509">
        <f t="shared" si="118"/>
        <v>1.3687620889200032E-4</v>
      </c>
      <c r="T73" s="355">
        <f>495+101</f>
        <v>596</v>
      </c>
      <c r="U73" s="356">
        <f t="shared" si="119"/>
        <v>1.2260306886178272E-4</v>
      </c>
      <c r="V73" s="655">
        <f>481+470</f>
        <v>951</v>
      </c>
      <c r="W73" s="860">
        <f t="shared" si="120"/>
        <v>1.765122187845751E-4</v>
      </c>
      <c r="X73" s="656">
        <v>210</v>
      </c>
      <c r="Y73" s="860">
        <f t="shared" si="121"/>
        <v>3.901125418953005E-5</v>
      </c>
      <c r="Z73" s="1049">
        <v>500</v>
      </c>
      <c r="AA73" s="1050">
        <f t="shared" si="122"/>
        <v>1.0152284263959391E-4</v>
      </c>
      <c r="AB73" s="1144">
        <f t="shared" si="136"/>
        <v>0</v>
      </c>
      <c r="AC73" s="1131"/>
      <c r="AD73" s="421">
        <v>390</v>
      </c>
      <c r="AE73" s="245">
        <f t="shared" si="123"/>
        <v>8.5667573351761378E-5</v>
      </c>
      <c r="AF73" s="781">
        <f t="shared" si="124"/>
        <v>415</v>
      </c>
      <c r="AG73" s="782">
        <f t="shared" si="125"/>
        <v>8.7196597861897396E-5</v>
      </c>
      <c r="AH73" s="1001">
        <f t="shared" si="126"/>
        <v>-25</v>
      </c>
      <c r="AI73" s="451">
        <f t="shared" si="138"/>
        <v>-6.0240963855421686E-2</v>
      </c>
      <c r="AJ73" s="1049">
        <v>500</v>
      </c>
      <c r="AK73" s="1050">
        <f t="shared" si="128"/>
        <v>9.3457943925233641E-5</v>
      </c>
      <c r="AL73" s="585">
        <v>800</v>
      </c>
      <c r="AM73" s="586">
        <f t="shared" si="129"/>
        <v>1.4285714285714287E-4</v>
      </c>
      <c r="AN73" s="781">
        <v>800</v>
      </c>
      <c r="AO73" s="782">
        <f t="shared" si="130"/>
        <v>1.4285714285714287E-4</v>
      </c>
      <c r="AP73" s="450">
        <f t="shared" si="137"/>
        <v>-276.66666666666674</v>
      </c>
      <c r="AQ73" s="451">
        <f t="shared" si="131"/>
        <v>-0.34583333333333344</v>
      </c>
      <c r="AR73" s="1029">
        <v>157</v>
      </c>
      <c r="AS73" s="748">
        <f t="shared" si="132"/>
        <v>3.2942492689179606E-5</v>
      </c>
      <c r="AT73" s="894">
        <f>100+57</f>
        <v>157</v>
      </c>
      <c r="AU73" s="245">
        <f t="shared" si="133"/>
        <v>2.92363629592041E-5</v>
      </c>
      <c r="AV73" s="450">
        <f t="shared" si="134"/>
        <v>233</v>
      </c>
      <c r="AW73" s="452">
        <f t="shared" si="135"/>
        <v>1.484076433121019</v>
      </c>
    </row>
    <row r="74" spans="1:50" ht="18" hidden="1" customHeight="1" x14ac:dyDescent="0.25">
      <c r="A74" s="956">
        <v>11</v>
      </c>
      <c r="B74" s="107" t="s">
        <v>53</v>
      </c>
      <c r="C74" s="78" t="s">
        <v>195</v>
      </c>
      <c r="D74" s="56">
        <v>24780</v>
      </c>
      <c r="E74" s="57">
        <f t="shared" si="111"/>
        <v>4.7074163676950687E-3</v>
      </c>
      <c r="F74" s="167">
        <v>18699</v>
      </c>
      <c r="G74" s="166">
        <f t="shared" si="112"/>
        <v>3.6577715468447685E-3</v>
      </c>
      <c r="H74" s="126">
        <v>11723</v>
      </c>
      <c r="I74" s="57">
        <f t="shared" si="113"/>
        <v>2.1490371862443289E-3</v>
      </c>
      <c r="J74" s="167">
        <v>13895</v>
      </c>
      <c r="K74" s="166">
        <f t="shared" si="114"/>
        <v>2.4865467886861139E-3</v>
      </c>
      <c r="L74" s="306">
        <v>25733</v>
      </c>
      <c r="M74" s="214">
        <f t="shared" si="115"/>
        <v>5.0149045934522688E-3</v>
      </c>
      <c r="N74" s="508">
        <v>30878</v>
      </c>
      <c r="O74" s="509">
        <f t="shared" si="116"/>
        <v>5.6839486710608452E-3</v>
      </c>
      <c r="P74" s="655">
        <v>33125</v>
      </c>
      <c r="Q74" s="356">
        <f t="shared" si="117"/>
        <v>5.7035493898106113E-3</v>
      </c>
      <c r="R74" s="508">
        <v>38294</v>
      </c>
      <c r="S74" s="509">
        <f t="shared" si="118"/>
        <v>7.2396927393788123E-3</v>
      </c>
      <c r="T74" s="355">
        <v>42817</v>
      </c>
      <c r="U74" s="356">
        <f t="shared" si="119"/>
        <v>8.8078785225754221E-3</v>
      </c>
      <c r="V74" s="655">
        <v>42335</v>
      </c>
      <c r="W74" s="860">
        <f t="shared" si="120"/>
        <v>7.8576706437907332E-3</v>
      </c>
      <c r="X74" s="656">
        <v>43652</v>
      </c>
      <c r="Y74" s="860">
        <f t="shared" si="121"/>
        <v>8.1091393708636467E-3</v>
      </c>
      <c r="Z74" s="1049">
        <v>70920</v>
      </c>
      <c r="AA74" s="1050">
        <f t="shared" si="122"/>
        <v>1.44E-2</v>
      </c>
      <c r="AB74" s="1144">
        <f t="shared" si="136"/>
        <v>-2335</v>
      </c>
      <c r="AC74" s="1131"/>
      <c r="AD74" s="421">
        <v>62122</v>
      </c>
      <c r="AE74" s="245">
        <f t="shared" si="123"/>
        <v>1.3645746132713129E-2</v>
      </c>
      <c r="AF74" s="781">
        <f t="shared" si="124"/>
        <v>60801.649999999994</v>
      </c>
      <c r="AG74" s="782">
        <f t="shared" si="125"/>
        <v>1.2775173552746587E-2</v>
      </c>
      <c r="AH74" s="1001">
        <f t="shared" si="126"/>
        <v>1320.3500000000058</v>
      </c>
      <c r="AI74" s="451">
        <f t="shared" si="138"/>
        <v>2.1715693570816021E-2</v>
      </c>
      <c r="AJ74" s="1049">
        <v>73255</v>
      </c>
      <c r="AK74" s="1050">
        <f t="shared" si="128"/>
        <v>1.3692523364485981E-2</v>
      </c>
      <c r="AL74" s="585">
        <v>73455</v>
      </c>
      <c r="AM74" s="586">
        <f t="shared" si="129"/>
        <v>1.3116964285714286E-2</v>
      </c>
      <c r="AN74" s="781">
        <v>73455</v>
      </c>
      <c r="AO74" s="782">
        <f t="shared" si="130"/>
        <v>1.3116964285714286E-2</v>
      </c>
      <c r="AP74" s="450">
        <f t="shared" si="137"/>
        <v>909.5</v>
      </c>
      <c r="AQ74" s="451">
        <f t="shared" si="131"/>
        <v>1.2381730311074807E-2</v>
      </c>
      <c r="AR74" s="1029">
        <v>52028</v>
      </c>
      <c r="AS74" s="748">
        <f t="shared" si="132"/>
        <v>1.0916764392564565E-2</v>
      </c>
      <c r="AT74" s="894">
        <v>63298</v>
      </c>
      <c r="AU74" s="245">
        <f t="shared" si="133"/>
        <v>1.1787282182112746E-2</v>
      </c>
      <c r="AV74" s="450">
        <f t="shared" si="134"/>
        <v>10094</v>
      </c>
      <c r="AW74" s="452">
        <f t="shared" si="135"/>
        <v>0.19401091719843161</v>
      </c>
    </row>
    <row r="75" spans="1:50" ht="18" hidden="1" customHeight="1" x14ac:dyDescent="0.25">
      <c r="A75" s="957">
        <v>12</v>
      </c>
      <c r="B75" s="107" t="s">
        <v>54</v>
      </c>
      <c r="C75" s="78" t="s">
        <v>5</v>
      </c>
      <c r="D75" s="56">
        <v>25276</v>
      </c>
      <c r="E75" s="57">
        <f t="shared" si="111"/>
        <v>4.8016406823995382E-3</v>
      </c>
      <c r="F75" s="167">
        <v>26735</v>
      </c>
      <c r="G75" s="166">
        <f t="shared" si="112"/>
        <v>5.2297193595858011E-3</v>
      </c>
      <c r="H75" s="126">
        <v>29199</v>
      </c>
      <c r="I75" s="57">
        <f t="shared" si="113"/>
        <v>5.352702960091116E-3</v>
      </c>
      <c r="J75" s="167">
        <v>30657</v>
      </c>
      <c r="K75" s="166">
        <f t="shared" si="114"/>
        <v>5.4861507665167463E-3</v>
      </c>
      <c r="L75" s="306">
        <v>32983</v>
      </c>
      <c r="M75" s="214">
        <f t="shared" si="115"/>
        <v>6.427800808527423E-3</v>
      </c>
      <c r="N75" s="508">
        <v>34964</v>
      </c>
      <c r="O75" s="509">
        <f t="shared" si="116"/>
        <v>6.4360898158874079E-3</v>
      </c>
      <c r="P75" s="655">
        <v>33683</v>
      </c>
      <c r="Q75" s="356">
        <f t="shared" si="117"/>
        <v>5.7996272934940623E-3</v>
      </c>
      <c r="R75" s="508">
        <v>35645</v>
      </c>
      <c r="S75" s="509">
        <f t="shared" si="118"/>
        <v>6.7388846214852917E-3</v>
      </c>
      <c r="T75" s="355">
        <v>37165</v>
      </c>
      <c r="U75" s="356">
        <f t="shared" si="119"/>
        <v>7.645206466859321E-3</v>
      </c>
      <c r="V75" s="655">
        <v>33555</v>
      </c>
      <c r="W75" s="860">
        <f t="shared" si="120"/>
        <v>6.2280415366103231E-3</v>
      </c>
      <c r="X75" s="656">
        <v>29523</v>
      </c>
      <c r="Y75" s="860">
        <f t="shared" si="121"/>
        <v>5.4844250354166455E-3</v>
      </c>
      <c r="Z75" s="1049">
        <v>37185</v>
      </c>
      <c r="AA75" s="1050">
        <f t="shared" si="122"/>
        <v>7.5502538071065993E-3</v>
      </c>
      <c r="AB75" s="1144">
        <f t="shared" si="136"/>
        <v>-2200</v>
      </c>
      <c r="AC75" s="1131"/>
      <c r="AD75" s="421">
        <v>32039</v>
      </c>
      <c r="AE75" s="245">
        <f t="shared" si="123"/>
        <v>7.0377009810694436E-3</v>
      </c>
      <c r="AF75" s="781">
        <f t="shared" si="124"/>
        <v>32689.55</v>
      </c>
      <c r="AG75" s="782">
        <f t="shared" si="125"/>
        <v>6.8684760135816576E-3</v>
      </c>
      <c r="AH75" s="1001">
        <f t="shared" si="126"/>
        <v>-650.54999999999927</v>
      </c>
      <c r="AI75" s="451">
        <f t="shared" si="138"/>
        <v>-1.9900855166253412E-2</v>
      </c>
      <c r="AJ75" s="1049">
        <v>39385</v>
      </c>
      <c r="AK75" s="1050">
        <f t="shared" si="128"/>
        <v>7.3616822429906541E-3</v>
      </c>
      <c r="AL75" s="585">
        <v>39265</v>
      </c>
      <c r="AM75" s="586">
        <f t="shared" si="129"/>
        <v>7.0116071428571432E-3</v>
      </c>
      <c r="AN75" s="781">
        <v>39265</v>
      </c>
      <c r="AO75" s="782">
        <f t="shared" si="130"/>
        <v>7.0116071428571432E-3</v>
      </c>
      <c r="AP75" s="450">
        <f t="shared" si="137"/>
        <v>-681.83333333333576</v>
      </c>
      <c r="AQ75" s="451">
        <f t="shared" si="131"/>
        <v>-1.7364913621121501E-2</v>
      </c>
      <c r="AR75" s="1029">
        <v>29030</v>
      </c>
      <c r="AS75" s="748">
        <f t="shared" si="132"/>
        <v>6.0912137755852486E-3</v>
      </c>
      <c r="AT75" s="894">
        <v>35337</v>
      </c>
      <c r="AU75" s="245">
        <f t="shared" si="133"/>
        <v>6.5804162922891421E-3</v>
      </c>
      <c r="AV75" s="450">
        <f t="shared" si="134"/>
        <v>3009</v>
      </c>
      <c r="AW75" s="452">
        <f t="shared" si="135"/>
        <v>0.10365139510850845</v>
      </c>
    </row>
    <row r="76" spans="1:50" ht="18" hidden="1" customHeight="1" x14ac:dyDescent="0.25">
      <c r="A76" s="956">
        <v>13</v>
      </c>
      <c r="B76" s="99" t="s">
        <v>55</v>
      </c>
      <c r="C76" s="79" t="s">
        <v>196</v>
      </c>
      <c r="D76" s="58">
        <v>15414</v>
      </c>
      <c r="E76" s="59">
        <f t="shared" si="111"/>
        <v>2.9281725541425259E-3</v>
      </c>
      <c r="F76" s="168">
        <v>19738</v>
      </c>
      <c r="G76" s="169">
        <f t="shared" si="112"/>
        <v>3.8610136794278863E-3</v>
      </c>
      <c r="H76" s="127">
        <v>20528</v>
      </c>
      <c r="I76" s="59">
        <f t="shared" si="113"/>
        <v>3.7631523807236697E-3</v>
      </c>
      <c r="J76" s="168">
        <v>23436</v>
      </c>
      <c r="K76" s="169">
        <f t="shared" si="114"/>
        <v>4.1939338279703316E-3</v>
      </c>
      <c r="L76" s="308">
        <v>27162</v>
      </c>
      <c r="M76" s="215">
        <f t="shared" si="115"/>
        <v>5.2933913094994961E-3</v>
      </c>
      <c r="N76" s="511">
        <v>30266</v>
      </c>
      <c r="O76" s="512">
        <f t="shared" si="116"/>
        <v>5.5712931691925495E-3</v>
      </c>
      <c r="P76" s="657">
        <v>30060</v>
      </c>
      <c r="Q76" s="359">
        <f t="shared" si="117"/>
        <v>5.1758096500439839E-3</v>
      </c>
      <c r="R76" s="511">
        <v>33041</v>
      </c>
      <c r="S76" s="512">
        <f t="shared" si="118"/>
        <v>6.2465840027632362E-3</v>
      </c>
      <c r="T76" s="358">
        <v>33499</v>
      </c>
      <c r="U76" s="359">
        <f t="shared" si="119"/>
        <v>6.8910741674511073E-3</v>
      </c>
      <c r="V76" s="657">
        <v>34562</v>
      </c>
      <c r="W76" s="861">
        <f t="shared" si="120"/>
        <v>6.4149477451445683E-3</v>
      </c>
      <c r="X76" s="662">
        <v>32864</v>
      </c>
      <c r="Y76" s="861">
        <f t="shared" si="121"/>
        <v>6.1050755127843599E-3</v>
      </c>
      <c r="Z76" s="1052">
        <v>42515</v>
      </c>
      <c r="AA76" s="1053">
        <f t="shared" si="122"/>
        <v>8.6324873096446705E-3</v>
      </c>
      <c r="AB76" s="1144">
        <f t="shared" si="136"/>
        <v>980</v>
      </c>
      <c r="AC76" s="1132"/>
      <c r="AD76" s="425">
        <v>33639</v>
      </c>
      <c r="AE76" s="246">
        <f t="shared" si="123"/>
        <v>7.3891576922561564E-3</v>
      </c>
      <c r="AF76" s="781">
        <f t="shared" si="124"/>
        <v>34474.049999999996</v>
      </c>
      <c r="AG76" s="785">
        <f t="shared" si="125"/>
        <v>7.2434213843878157E-3</v>
      </c>
      <c r="AH76" s="1001">
        <f t="shared" si="126"/>
        <v>-835.04999999999563</v>
      </c>
      <c r="AI76" s="451">
        <f t="shared" si="138"/>
        <v>-2.4222567409399119E-2</v>
      </c>
      <c r="AJ76" s="1052">
        <v>41535</v>
      </c>
      <c r="AK76" s="1053">
        <f t="shared" si="128"/>
        <v>7.7635514018691591E-3</v>
      </c>
      <c r="AL76" s="588">
        <v>41540</v>
      </c>
      <c r="AM76" s="589">
        <f t="shared" si="129"/>
        <v>7.4178571428571427E-3</v>
      </c>
      <c r="AN76" s="784">
        <v>41540</v>
      </c>
      <c r="AO76" s="785">
        <f t="shared" si="130"/>
        <v>7.4178571428571427E-3</v>
      </c>
      <c r="AP76" s="450">
        <f t="shared" si="137"/>
        <v>-977.66666666666424</v>
      </c>
      <c r="AQ76" s="451">
        <f t="shared" si="131"/>
        <v>-2.3535548066120949E-2</v>
      </c>
      <c r="AR76" s="1030">
        <v>30820</v>
      </c>
      <c r="AS76" s="749">
        <f t="shared" si="132"/>
        <v>6.4668001572007359E-3</v>
      </c>
      <c r="AT76" s="895">
        <v>37568</v>
      </c>
      <c r="AU76" s="246">
        <f t="shared" si="133"/>
        <v>6.9958705965056031E-3</v>
      </c>
      <c r="AV76" s="450">
        <f t="shared" si="134"/>
        <v>2819</v>
      </c>
      <c r="AW76" s="482">
        <f t="shared" si="135"/>
        <v>9.1466580142764445E-2</v>
      </c>
    </row>
    <row r="77" spans="1:50" ht="18" hidden="1" customHeight="1" thickBot="1" x14ac:dyDescent="0.3">
      <c r="A77" s="100"/>
      <c r="B77" s="101"/>
      <c r="C77" s="85" t="s">
        <v>197</v>
      </c>
      <c r="D77" s="39">
        <f>SUM(D64:D76)</f>
        <v>510405.13</v>
      </c>
      <c r="E77" s="41">
        <f t="shared" si="111"/>
        <v>9.6960833862692886E-2</v>
      </c>
      <c r="F77" s="182">
        <f>SUM(F64:F76)</f>
        <v>528241</v>
      </c>
      <c r="G77" s="183">
        <f t="shared" si="112"/>
        <v>0.1033309214223663</v>
      </c>
      <c r="H77" s="135">
        <f>SUM(H64:H76)</f>
        <v>576143</v>
      </c>
      <c r="I77" s="41">
        <f t="shared" si="113"/>
        <v>0.10561739585382295</v>
      </c>
      <c r="J77" s="182">
        <f>SUM(J64:J76)</f>
        <v>597441</v>
      </c>
      <c r="K77" s="183">
        <f t="shared" si="114"/>
        <v>0.10691363799779924</v>
      </c>
      <c r="L77" s="319">
        <f>SUM(L64:L76)</f>
        <v>655298</v>
      </c>
      <c r="M77" s="223">
        <f t="shared" si="115"/>
        <v>0.12770593985466464</v>
      </c>
      <c r="N77" s="533">
        <f>SUM(N64:N76)</f>
        <v>687843</v>
      </c>
      <c r="O77" s="534">
        <f t="shared" si="116"/>
        <v>0.12661650060718002</v>
      </c>
      <c r="P77" s="675">
        <f>SUM(P64:P76)</f>
        <v>665890</v>
      </c>
      <c r="Q77" s="381">
        <f t="shared" si="117"/>
        <v>0.11465468688848265</v>
      </c>
      <c r="R77" s="533">
        <f>SUM(R64:R76)</f>
        <v>731091</v>
      </c>
      <c r="S77" s="534">
        <f t="shared" si="118"/>
        <v>0.13821680170588593</v>
      </c>
      <c r="T77" s="380">
        <f>SUM(T64:T76)</f>
        <v>738059</v>
      </c>
      <c r="U77" s="381">
        <f t="shared" si="119"/>
        <v>0.15182600402862165</v>
      </c>
      <c r="V77" s="675">
        <f>SUM(V64:V76)</f>
        <v>700982</v>
      </c>
      <c r="W77" s="872">
        <f t="shared" si="120"/>
        <v>0.13010713790541431</v>
      </c>
      <c r="X77" s="891">
        <f>SUM(X64:X76)</f>
        <v>619661</v>
      </c>
      <c r="Y77" s="872">
        <f t="shared" si="121"/>
        <v>0.11511310848732562</v>
      </c>
      <c r="Z77" s="1081">
        <f>SUM(Z64:Z76)</f>
        <v>739315</v>
      </c>
      <c r="AA77" s="1082">
        <f t="shared" si="122"/>
        <v>0.15011472081218274</v>
      </c>
      <c r="AB77" s="1155">
        <f>SUM(AB64:AB76)</f>
        <v>-34965</v>
      </c>
      <c r="AC77" s="1137"/>
      <c r="AD77" s="558">
        <f>SUM(AD64:AD76)</f>
        <v>650195</v>
      </c>
      <c r="AE77" s="255">
        <f t="shared" si="123"/>
        <v>0.14282212270627817</v>
      </c>
      <c r="AF77" s="807">
        <f>SUM(AF64:AF76)</f>
        <v>648692.4</v>
      </c>
      <c r="AG77" s="808">
        <f t="shared" si="125"/>
        <v>0.13629824178040745</v>
      </c>
      <c r="AH77" s="474">
        <f>SUM(AH64:AH76)</f>
        <v>1502.6000000000458</v>
      </c>
      <c r="AI77" s="468">
        <f>AH77/AF77</f>
        <v>2.3163520953845703E-3</v>
      </c>
      <c r="AJ77" s="1081">
        <f>SUM(AJ64:AJ76)</f>
        <v>774280</v>
      </c>
      <c r="AK77" s="1082">
        <f t="shared" si="128"/>
        <v>0.14472523364485981</v>
      </c>
      <c r="AL77" s="613">
        <f>SUM(AL64:AL76)</f>
        <v>773765</v>
      </c>
      <c r="AM77" s="614">
        <f t="shared" si="129"/>
        <v>0.13817232142857142</v>
      </c>
      <c r="AN77" s="807">
        <f>SUM(AN64:AN76)</f>
        <v>773765</v>
      </c>
      <c r="AO77" s="808">
        <f t="shared" si="130"/>
        <v>0.13817232142857142</v>
      </c>
      <c r="AP77" s="474">
        <f>SUM(AP64:AP76)</f>
        <v>6940.8333333333703</v>
      </c>
      <c r="AQ77" s="468">
        <f>AP77/AN77</f>
        <v>8.9702084396856546E-3</v>
      </c>
      <c r="AR77" s="739">
        <f>SUM(AR64:AR76)</f>
        <v>599483</v>
      </c>
      <c r="AS77" s="760">
        <f t="shared" si="132"/>
        <v>0.12578639710055706</v>
      </c>
      <c r="AT77" s="903">
        <f>SUM(AT64:AT76)</f>
        <v>728526</v>
      </c>
      <c r="AU77" s="255">
        <f t="shared" si="133"/>
        <v>0.13566529019883519</v>
      </c>
      <c r="AV77" s="474">
        <f>SUM(AV64:AV76)</f>
        <v>50712</v>
      </c>
      <c r="AW77" s="469">
        <f t="shared" si="135"/>
        <v>8.4592890874303356E-2</v>
      </c>
    </row>
    <row r="78" spans="1:50" ht="18" hidden="1" customHeight="1" thickTop="1" x14ac:dyDescent="0.25">
      <c r="A78" s="100"/>
      <c r="B78" s="101"/>
      <c r="C78" s="81"/>
      <c r="D78" s="31"/>
      <c r="E78" s="30"/>
      <c r="F78" s="184"/>
      <c r="G78" s="162"/>
      <c r="H78" s="136"/>
      <c r="I78" s="30"/>
      <c r="J78" s="184"/>
      <c r="K78" s="162"/>
      <c r="L78" s="320"/>
      <c r="M78" s="212"/>
      <c r="N78" s="535"/>
      <c r="O78" s="507"/>
      <c r="P78" s="704"/>
      <c r="Q78" s="354"/>
      <c r="R78" s="535"/>
      <c r="S78" s="507"/>
      <c r="T78" s="382"/>
      <c r="U78" s="354"/>
      <c r="V78" s="670"/>
      <c r="W78" s="671"/>
      <c r="X78" s="888"/>
      <c r="Y78" s="671"/>
      <c r="Z78" s="1073"/>
      <c r="AA78" s="1074"/>
      <c r="AB78" s="1149"/>
      <c r="AC78" s="1130"/>
      <c r="AD78" s="640"/>
      <c r="AE78" s="641"/>
      <c r="AF78" s="974"/>
      <c r="AG78" s="975"/>
      <c r="AH78" s="642"/>
      <c r="AI78" s="643"/>
      <c r="AJ78" s="1073"/>
      <c r="AK78" s="1074"/>
      <c r="AL78" s="767"/>
      <c r="AM78" s="721"/>
      <c r="AN78" s="974"/>
      <c r="AO78" s="975"/>
      <c r="AP78" s="642"/>
      <c r="AQ78" s="643"/>
      <c r="AR78" s="640"/>
      <c r="AS78" s="641"/>
      <c r="AT78" s="899"/>
      <c r="AU78" s="641"/>
      <c r="AV78" s="642"/>
      <c r="AW78" s="643"/>
    </row>
    <row r="79" spans="1:50" ht="18" hidden="1" customHeight="1" x14ac:dyDescent="0.25">
      <c r="A79" s="100"/>
      <c r="B79" s="101"/>
      <c r="C79" s="76" t="s">
        <v>205</v>
      </c>
      <c r="D79" s="29"/>
      <c r="E79" s="30"/>
      <c r="F79" s="161"/>
      <c r="G79" s="162"/>
      <c r="H79" s="123"/>
      <c r="I79" s="30"/>
      <c r="J79" s="161"/>
      <c r="K79" s="162"/>
      <c r="L79" s="305"/>
      <c r="M79" s="212"/>
      <c r="N79" s="506"/>
      <c r="O79" s="507"/>
      <c r="P79" s="654"/>
      <c r="Q79" s="354"/>
      <c r="R79" s="506"/>
      <c r="S79" s="507"/>
      <c r="T79" s="353"/>
      <c r="U79" s="354"/>
      <c r="V79" s="672"/>
      <c r="W79" s="673"/>
      <c r="X79" s="889"/>
      <c r="Y79" s="673"/>
      <c r="Z79" s="1075"/>
      <c r="AA79" s="1076"/>
      <c r="AB79" s="1149"/>
      <c r="AC79" s="1130"/>
      <c r="AD79" s="636"/>
      <c r="AE79" s="637"/>
      <c r="AF79" s="976"/>
      <c r="AG79" s="977"/>
      <c r="AH79" s="639"/>
      <c r="AI79" s="493"/>
      <c r="AJ79" s="1075"/>
      <c r="AK79" s="1076"/>
      <c r="AL79" s="720"/>
      <c r="AM79" s="719"/>
      <c r="AN79" s="976"/>
      <c r="AO79" s="977"/>
      <c r="AP79" s="639"/>
      <c r="AQ79" s="493"/>
      <c r="AR79" s="636"/>
      <c r="AS79" s="637"/>
      <c r="AT79" s="904"/>
      <c r="AU79" s="637"/>
      <c r="AV79" s="639"/>
      <c r="AW79" s="493"/>
    </row>
    <row r="80" spans="1:50" s="4" customFormat="1" ht="18" hidden="1" customHeight="1" x14ac:dyDescent="0.25">
      <c r="A80" s="102"/>
      <c r="B80" s="103"/>
      <c r="C80" s="108" t="s">
        <v>186</v>
      </c>
      <c r="D80" s="109">
        <v>6</v>
      </c>
      <c r="E80" s="111"/>
      <c r="F80" s="180">
        <v>6</v>
      </c>
      <c r="G80" s="185"/>
      <c r="H80" s="134">
        <v>6</v>
      </c>
      <c r="I80" s="111"/>
      <c r="J80" s="180">
        <v>6.85</v>
      </c>
      <c r="K80" s="185"/>
      <c r="L80" s="318">
        <v>6.85</v>
      </c>
      <c r="M80" s="224"/>
      <c r="N80" s="531">
        <v>6.85</v>
      </c>
      <c r="O80" s="536"/>
      <c r="P80" s="674">
        <v>6.85</v>
      </c>
      <c r="Q80" s="383"/>
      <c r="R80" s="531">
        <v>6.85</v>
      </c>
      <c r="S80" s="536"/>
      <c r="T80" s="378">
        <v>6.85</v>
      </c>
      <c r="U80" s="383"/>
      <c r="V80" s="674">
        <v>6.85</v>
      </c>
      <c r="W80" s="873"/>
      <c r="X80" s="674">
        <v>6.85</v>
      </c>
      <c r="Y80" s="873"/>
      <c r="Z80" s="1077">
        <v>6.85</v>
      </c>
      <c r="AA80" s="1083"/>
      <c r="AB80" s="1156"/>
      <c r="AC80" s="1138"/>
      <c r="AD80" s="433">
        <v>6.85</v>
      </c>
      <c r="AE80" s="256"/>
      <c r="AF80" s="803">
        <v>6.85</v>
      </c>
      <c r="AG80" s="809"/>
      <c r="AH80" s="475"/>
      <c r="AI80" s="451"/>
      <c r="AJ80" s="1077">
        <v>6.85</v>
      </c>
      <c r="AK80" s="1083"/>
      <c r="AL80" s="611">
        <v>6.85</v>
      </c>
      <c r="AM80" s="615"/>
      <c r="AN80" s="803">
        <v>6.85</v>
      </c>
      <c r="AO80" s="809"/>
      <c r="AP80" s="475"/>
      <c r="AQ80" s="451"/>
      <c r="AR80" s="734">
        <v>6.85</v>
      </c>
      <c r="AS80" s="761"/>
      <c r="AT80" s="901">
        <v>6.85</v>
      </c>
      <c r="AU80" s="256"/>
      <c r="AV80" s="475"/>
      <c r="AW80" s="452"/>
    </row>
    <row r="81" spans="1:49" ht="18" hidden="1" customHeight="1" x14ac:dyDescent="0.25">
      <c r="A81" s="104">
        <v>1</v>
      </c>
      <c r="B81" s="105" t="s">
        <v>56</v>
      </c>
      <c r="C81" s="77" t="s">
        <v>187</v>
      </c>
      <c r="D81" s="54">
        <v>250959</v>
      </c>
      <c r="E81" s="55">
        <f t="shared" ref="E81:E90" si="139">D81/D$11</f>
        <v>4.7674273778062423E-2</v>
      </c>
      <c r="F81" s="163">
        <v>263236</v>
      </c>
      <c r="G81" s="164">
        <f t="shared" ref="G81:G90" si="140">F81/F$11</f>
        <v>5.1492440820644393E-2</v>
      </c>
      <c r="H81" s="124">
        <v>267101</v>
      </c>
      <c r="I81" s="55">
        <f t="shared" ref="I81:I90" si="141">H81/H$11</f>
        <v>4.896442732091158E-2</v>
      </c>
      <c r="J81" s="163">
        <v>312290</v>
      </c>
      <c r="K81" s="164">
        <f t="shared" ref="K81:K90" si="142">J81/J$11</f>
        <v>5.5885116706641702E-2</v>
      </c>
      <c r="L81" s="313">
        <v>320831</v>
      </c>
      <c r="M81" s="213">
        <f t="shared" ref="M81:M90" si="143">L81/L$11</f>
        <v>6.2524262838451986E-2</v>
      </c>
      <c r="N81" s="520">
        <v>322931</v>
      </c>
      <c r="O81" s="521">
        <f t="shared" ref="O81:O90" si="144">N81/N$11</f>
        <v>5.9444369074886642E-2</v>
      </c>
      <c r="P81" s="663">
        <v>319608</v>
      </c>
      <c r="Q81" s="368">
        <f t="shared" ref="Q81:Q90" si="145">P81/P$11</f>
        <v>5.5030943800108374E-2</v>
      </c>
      <c r="R81" s="520">
        <v>334312</v>
      </c>
      <c r="S81" s="521">
        <f t="shared" ref="S81:S90" si="146">R81/R$11</f>
        <v>6.3203534733566866E-2</v>
      </c>
      <c r="T81" s="367">
        <v>343500</v>
      </c>
      <c r="U81" s="368">
        <f t="shared" ref="U81:U90" si="147">T81/T$11</f>
        <v>7.0661332473191896E-2</v>
      </c>
      <c r="V81" s="663">
        <v>324529</v>
      </c>
      <c r="W81" s="871">
        <f t="shared" ref="W81:W90" si="148">V81/V$11</f>
        <v>6.0234841061976206E-2</v>
      </c>
      <c r="X81" s="663">
        <v>331058</v>
      </c>
      <c r="Y81" s="871">
        <f t="shared" ref="Y81:Y90" si="149">X81/X$11</f>
        <v>6.1499941854654468E-2</v>
      </c>
      <c r="Z81" s="1084">
        <v>347180</v>
      </c>
      <c r="AA81" s="1080">
        <f t="shared" ref="AA81:AA90" si="150">Z81/Z$11</f>
        <v>7.0493401015228427E-2</v>
      </c>
      <c r="AB81" s="1144">
        <f t="shared" ref="AB81:AB89" si="151">Z81-AJ81</f>
        <v>0</v>
      </c>
      <c r="AC81" s="1136"/>
      <c r="AD81" s="557">
        <v>289195</v>
      </c>
      <c r="AE81" s="753">
        <f t="shared" ref="AE81:AE90" si="152">AD81/AD$11</f>
        <v>6.352470224477598E-2</v>
      </c>
      <c r="AF81" s="978">
        <f t="shared" ref="AF81:AF89" si="153">AJ81*$AX$3</f>
        <v>288159.39999999997</v>
      </c>
      <c r="AG81" s="806">
        <f t="shared" ref="AG81:AG90" si="154">AF81/AF$11</f>
        <v>6.0545829691387068E-2</v>
      </c>
      <c r="AH81" s="1001">
        <f t="shared" ref="AH81:AH89" si="155">AD81-AF81</f>
        <v>1035.6000000000349</v>
      </c>
      <c r="AI81" s="451">
        <f t="shared" ref="AI81:AI89" si="156">AH81/AF81</f>
        <v>3.5938442403754141E-3</v>
      </c>
      <c r="AJ81" s="1084">
        <v>347180</v>
      </c>
      <c r="AK81" s="1080">
        <f t="shared" ref="AK81:AK90" si="157">AJ81/AJ$11</f>
        <v>6.4893457943925231E-2</v>
      </c>
      <c r="AL81" s="840">
        <v>347180</v>
      </c>
      <c r="AM81" s="598">
        <f t="shared" ref="AM81:AM90" si="158">AL81/AL$11</f>
        <v>6.199642857142857E-2</v>
      </c>
      <c r="AN81" s="978">
        <v>347180</v>
      </c>
      <c r="AO81" s="806">
        <f t="shared" ref="AO81:AO90" si="159">AN81/AN$11</f>
        <v>6.199642857142857E-2</v>
      </c>
      <c r="AP81" s="450">
        <f t="shared" ref="AP81:AP89" si="160">$AD81-(AL81/12*$AX$1)</f>
        <v>-121.66666666668607</v>
      </c>
      <c r="AQ81" s="451">
        <f t="shared" ref="AQ81:AQ89" si="161">AP81/AN81</f>
        <v>-3.5044261382189665E-4</v>
      </c>
      <c r="AR81" s="1008">
        <v>283001</v>
      </c>
      <c r="AS81" s="753">
        <f t="shared" ref="AS81:AS90" si="162">AR81/AR$11</f>
        <v>5.9380626582996934E-2</v>
      </c>
      <c r="AT81" s="902">
        <v>339863</v>
      </c>
      <c r="AU81" s="753">
        <f t="shared" ref="AU81:AU90" si="163">AT81/AT$11</f>
        <v>6.3288904614038105E-2</v>
      </c>
      <c r="AV81" s="450">
        <f t="shared" ref="AV81:AV89" si="164">AD81-AR81</f>
        <v>6194</v>
      </c>
      <c r="AW81" s="452">
        <f t="shared" ref="AW81:AW90" si="165">AV81/AR81</f>
        <v>2.188684845636588E-2</v>
      </c>
    </row>
    <row r="82" spans="1:49" ht="18" hidden="1" customHeight="1" x14ac:dyDescent="0.25">
      <c r="A82" s="106">
        <v>2</v>
      </c>
      <c r="B82" s="107" t="s">
        <v>57</v>
      </c>
      <c r="C82" s="78" t="s">
        <v>206</v>
      </c>
      <c r="D82" s="56">
        <v>75408</v>
      </c>
      <c r="E82" s="57">
        <f t="shared" si="139"/>
        <v>1.4325135329102089E-2</v>
      </c>
      <c r="F82" s="167">
        <v>83208</v>
      </c>
      <c r="G82" s="166">
        <f t="shared" si="140"/>
        <v>1.6276584569755576E-2</v>
      </c>
      <c r="H82" s="126">
        <v>87667</v>
      </c>
      <c r="I82" s="57">
        <f t="shared" si="141"/>
        <v>1.6070941141898967E-2</v>
      </c>
      <c r="J82" s="167">
        <v>80110</v>
      </c>
      <c r="K82" s="166">
        <f t="shared" si="142"/>
        <v>1.4335895159528217E-2</v>
      </c>
      <c r="L82" s="306">
        <v>67210</v>
      </c>
      <c r="M82" s="214">
        <f t="shared" si="143"/>
        <v>1.3098035119338087E-2</v>
      </c>
      <c r="N82" s="508">
        <v>72290</v>
      </c>
      <c r="O82" s="509">
        <f t="shared" si="144"/>
        <v>1.3306970964148859E-2</v>
      </c>
      <c r="P82" s="655">
        <v>75155</v>
      </c>
      <c r="Q82" s="356">
        <f t="shared" si="145"/>
        <v>1.2940385038225402E-2</v>
      </c>
      <c r="R82" s="508">
        <v>80061</v>
      </c>
      <c r="S82" s="509">
        <f t="shared" si="146"/>
        <v>1.513597535925751E-2</v>
      </c>
      <c r="T82" s="355">
        <v>100969</v>
      </c>
      <c r="U82" s="356">
        <f t="shared" si="147"/>
        <v>2.0770317550176744E-2</v>
      </c>
      <c r="V82" s="655">
        <v>97880</v>
      </c>
      <c r="W82" s="860">
        <f t="shared" si="148"/>
        <v>1.81672092267447E-2</v>
      </c>
      <c r="X82" s="655">
        <v>87498</v>
      </c>
      <c r="Y82" s="860">
        <f t="shared" si="149"/>
        <v>1.6254317709883333E-2</v>
      </c>
      <c r="Z82" s="1084">
        <f>90000-5000</f>
        <v>85000</v>
      </c>
      <c r="AA82" s="1050">
        <f t="shared" si="150"/>
        <v>1.7258883248730966E-2</v>
      </c>
      <c r="AB82" s="1144">
        <f t="shared" si="151"/>
        <v>1400</v>
      </c>
      <c r="AC82" s="1131"/>
      <c r="AD82" s="421">
        <v>64582</v>
      </c>
      <c r="AE82" s="748">
        <f t="shared" si="152"/>
        <v>1.4186110826162701E-2</v>
      </c>
      <c r="AF82" s="978">
        <v>65000</v>
      </c>
      <c r="AG82" s="782">
        <f t="shared" si="154"/>
        <v>1.3657298460297182E-2</v>
      </c>
      <c r="AH82" s="1001">
        <f t="shared" si="155"/>
        <v>-418</v>
      </c>
      <c r="AI82" s="451">
        <f t="shared" si="156"/>
        <v>-6.4307692307692304E-3</v>
      </c>
      <c r="AJ82" s="1084">
        <v>83600</v>
      </c>
      <c r="AK82" s="1050">
        <f t="shared" si="157"/>
        <v>1.5626168224299065E-2</v>
      </c>
      <c r="AL82" s="840">
        <v>90000</v>
      </c>
      <c r="AM82" s="586">
        <f t="shared" si="158"/>
        <v>1.607142857142857E-2</v>
      </c>
      <c r="AN82" s="978">
        <v>90000</v>
      </c>
      <c r="AO82" s="782">
        <f t="shared" si="159"/>
        <v>1.607142857142857E-2</v>
      </c>
      <c r="AP82" s="450">
        <f t="shared" si="160"/>
        <v>-10418</v>
      </c>
      <c r="AQ82" s="451">
        <f t="shared" si="161"/>
        <v>-0.11575555555555556</v>
      </c>
      <c r="AR82" s="1007">
        <v>49199</v>
      </c>
      <c r="AS82" s="748">
        <f t="shared" si="162"/>
        <v>1.0323170049776736E-2</v>
      </c>
      <c r="AT82" s="894">
        <v>56226</v>
      </c>
      <c r="AU82" s="748">
        <f t="shared" si="163"/>
        <v>1.04703423168421E-2</v>
      </c>
      <c r="AV82" s="450">
        <f t="shared" si="164"/>
        <v>15383</v>
      </c>
      <c r="AW82" s="452">
        <f t="shared" si="165"/>
        <v>0.3126689566861115</v>
      </c>
    </row>
    <row r="83" spans="1:49" ht="18" hidden="1" customHeight="1" x14ac:dyDescent="0.25">
      <c r="A83" s="104">
        <v>3</v>
      </c>
      <c r="B83" s="107" t="s">
        <v>58</v>
      </c>
      <c r="C83" s="78" t="s">
        <v>358</v>
      </c>
      <c r="D83" s="56">
        <f>1662+2676+17197</f>
        <v>21535</v>
      </c>
      <c r="E83" s="57">
        <f t="shared" si="139"/>
        <v>4.0909689862111912E-3</v>
      </c>
      <c r="F83" s="167">
        <f>1891+107+3154+16887</f>
        <v>22039</v>
      </c>
      <c r="G83" s="166">
        <f t="shared" si="140"/>
        <v>4.3111196920109021E-3</v>
      </c>
      <c r="H83" s="126">
        <f>1836+4361+18662</f>
        <v>24859</v>
      </c>
      <c r="I83" s="57">
        <f t="shared" si="141"/>
        <v>4.5571027393028892E-3</v>
      </c>
      <c r="J83" s="167">
        <f>2407+3885+13352</f>
        <v>19644</v>
      </c>
      <c r="K83" s="166">
        <f t="shared" si="142"/>
        <v>3.5153454564195766E-3</v>
      </c>
      <c r="L83" s="306">
        <f>1348+3170+12217</f>
        <v>16735</v>
      </c>
      <c r="M83" s="214">
        <f t="shared" si="143"/>
        <v>3.2613542288665804E-3</v>
      </c>
      <c r="N83" s="508">
        <f>2195+3735+11938+1669</f>
        <v>19537</v>
      </c>
      <c r="O83" s="509">
        <f t="shared" si="144"/>
        <v>3.5963244117661677E-3</v>
      </c>
      <c r="P83" s="655">
        <f>2512+3254+15450</f>
        <v>21216</v>
      </c>
      <c r="Q83" s="356">
        <f t="shared" si="145"/>
        <v>3.653026531448209E-3</v>
      </c>
      <c r="R83" s="508">
        <f>2852+4115+10752</f>
        <v>17719</v>
      </c>
      <c r="S83" s="509">
        <f t="shared" si="146"/>
        <v>3.3498750626482785E-3</v>
      </c>
      <c r="T83" s="355">
        <f>4441+5568+18793</f>
        <v>28802</v>
      </c>
      <c r="U83" s="356">
        <f t="shared" si="147"/>
        <v>5.9248550156997754E-3</v>
      </c>
      <c r="V83" s="655">
        <f>2566+5068+15743</f>
        <v>23377</v>
      </c>
      <c r="W83" s="860">
        <f t="shared" si="148"/>
        <v>4.3389338996077942E-3</v>
      </c>
      <c r="X83" s="655">
        <f>606+1639</f>
        <v>2245</v>
      </c>
      <c r="Y83" s="860">
        <f t="shared" si="149"/>
        <v>4.1704888407378553E-4</v>
      </c>
      <c r="Z83" s="1084">
        <v>0</v>
      </c>
      <c r="AA83" s="1050">
        <f t="shared" si="150"/>
        <v>0</v>
      </c>
      <c r="AB83" s="1144">
        <f t="shared" si="151"/>
        <v>0</v>
      </c>
      <c r="AC83" s="1131"/>
      <c r="AD83" s="421">
        <v>0</v>
      </c>
      <c r="AE83" s="748">
        <f t="shared" si="152"/>
        <v>0</v>
      </c>
      <c r="AF83" s="978">
        <f t="shared" si="153"/>
        <v>0</v>
      </c>
      <c r="AG83" s="782">
        <f t="shared" si="154"/>
        <v>0</v>
      </c>
      <c r="AH83" s="1001">
        <f t="shared" si="155"/>
        <v>0</v>
      </c>
      <c r="AI83" s="451" t="e">
        <f t="shared" si="156"/>
        <v>#DIV/0!</v>
      </c>
      <c r="AJ83" s="1084">
        <v>0</v>
      </c>
      <c r="AK83" s="1050">
        <f t="shared" si="157"/>
        <v>0</v>
      </c>
      <c r="AL83" s="840">
        <v>800</v>
      </c>
      <c r="AM83" s="586">
        <f t="shared" si="158"/>
        <v>1.4285714285714287E-4</v>
      </c>
      <c r="AN83" s="978">
        <v>800</v>
      </c>
      <c r="AO83" s="782">
        <f t="shared" si="159"/>
        <v>1.4285714285714287E-4</v>
      </c>
      <c r="AP83" s="450">
        <f t="shared" si="160"/>
        <v>-666.66666666666674</v>
      </c>
      <c r="AQ83" s="451">
        <f t="shared" si="161"/>
        <v>-0.83333333333333348</v>
      </c>
      <c r="AR83" s="1007">
        <v>475</v>
      </c>
      <c r="AS83" s="748">
        <f t="shared" si="162"/>
        <v>9.9666777244333203E-5</v>
      </c>
      <c r="AT83" s="894">
        <f>160+315</f>
        <v>475</v>
      </c>
      <c r="AU83" s="748">
        <f t="shared" si="163"/>
        <v>8.8453964367018778E-5</v>
      </c>
      <c r="AV83" s="450">
        <f t="shared" si="164"/>
        <v>-475</v>
      </c>
      <c r="AW83" s="452">
        <f t="shared" si="165"/>
        <v>-1</v>
      </c>
    </row>
    <row r="84" spans="1:49" ht="18" hidden="1" customHeight="1" x14ac:dyDescent="0.25">
      <c r="A84" s="104">
        <v>4</v>
      </c>
      <c r="B84" s="107" t="s">
        <v>59</v>
      </c>
      <c r="C84" s="78" t="s">
        <v>336</v>
      </c>
      <c r="D84" s="56">
        <v>4231</v>
      </c>
      <c r="E84" s="57">
        <f t="shared" si="139"/>
        <v>8.0375620063429529E-4</v>
      </c>
      <c r="F84" s="167">
        <v>3089</v>
      </c>
      <c r="G84" s="166">
        <f t="shared" si="140"/>
        <v>6.0424922767011557E-4</v>
      </c>
      <c r="H84" s="126">
        <v>4704</v>
      </c>
      <c r="I84" s="57">
        <f t="shared" si="141"/>
        <v>8.6232798124143335E-4</v>
      </c>
      <c r="J84" s="167">
        <v>5149</v>
      </c>
      <c r="K84" s="166">
        <f t="shared" si="142"/>
        <v>9.2142708995644469E-4</v>
      </c>
      <c r="L84" s="306">
        <v>5256</v>
      </c>
      <c r="M84" s="214">
        <f t="shared" si="143"/>
        <v>1.0243010353703464E-3</v>
      </c>
      <c r="N84" s="508">
        <v>3021</v>
      </c>
      <c r="O84" s="509">
        <f t="shared" si="144"/>
        <v>5.5609848226163654E-4</v>
      </c>
      <c r="P84" s="655">
        <v>1900</v>
      </c>
      <c r="Q84" s="356">
        <f t="shared" si="145"/>
        <v>3.2714698386838222E-4</v>
      </c>
      <c r="R84" s="508">
        <v>5157</v>
      </c>
      <c r="S84" s="509">
        <f t="shared" si="146"/>
        <v>9.7495940504978686E-4</v>
      </c>
      <c r="T84" s="355">
        <v>4779</v>
      </c>
      <c r="U84" s="356">
        <f t="shared" si="147"/>
        <v>9.8308735921218073E-4</v>
      </c>
      <c r="V84" s="655">
        <v>2430</v>
      </c>
      <c r="W84" s="860">
        <f t="shared" si="148"/>
        <v>4.510249123517534E-4</v>
      </c>
      <c r="X84" s="655">
        <v>710</v>
      </c>
      <c r="Y84" s="860">
        <f t="shared" si="149"/>
        <v>1.3189519273603016E-4</v>
      </c>
      <c r="Z84" s="1084">
        <v>0</v>
      </c>
      <c r="AA84" s="1050">
        <f t="shared" si="150"/>
        <v>0</v>
      </c>
      <c r="AB84" s="1144">
        <f t="shared" si="151"/>
        <v>-700</v>
      </c>
      <c r="AC84" s="1131"/>
      <c r="AD84" s="421">
        <v>200</v>
      </c>
      <c r="AE84" s="748">
        <f t="shared" si="152"/>
        <v>4.3932088898339169E-5</v>
      </c>
      <c r="AF84" s="978">
        <f t="shared" si="153"/>
        <v>581</v>
      </c>
      <c r="AG84" s="782">
        <f t="shared" si="154"/>
        <v>1.2207523700665635E-4</v>
      </c>
      <c r="AH84" s="1001">
        <f t="shared" si="155"/>
        <v>-381</v>
      </c>
      <c r="AI84" s="451">
        <f t="shared" si="156"/>
        <v>-0.65576592082616181</v>
      </c>
      <c r="AJ84" s="1084">
        <v>700</v>
      </c>
      <c r="AK84" s="1050">
        <f t="shared" si="157"/>
        <v>1.3084112149532709E-4</v>
      </c>
      <c r="AL84" s="840">
        <v>1500</v>
      </c>
      <c r="AM84" s="586">
        <f t="shared" si="158"/>
        <v>2.6785714285714287E-4</v>
      </c>
      <c r="AN84" s="978">
        <v>1500</v>
      </c>
      <c r="AO84" s="782">
        <f t="shared" si="159"/>
        <v>2.6785714285714287E-4</v>
      </c>
      <c r="AP84" s="450">
        <f t="shared" si="160"/>
        <v>-1050</v>
      </c>
      <c r="AQ84" s="451">
        <f t="shared" si="161"/>
        <v>-0.7</v>
      </c>
      <c r="AR84" s="1007">
        <v>0</v>
      </c>
      <c r="AS84" s="748">
        <f t="shared" si="162"/>
        <v>0</v>
      </c>
      <c r="AT84" s="894">
        <v>320</v>
      </c>
      <c r="AU84" s="748">
        <f t="shared" si="163"/>
        <v>5.9590039152517915E-5</v>
      </c>
      <c r="AV84" s="450">
        <f t="shared" si="164"/>
        <v>200</v>
      </c>
      <c r="AW84" s="452" t="e">
        <f t="shared" si="165"/>
        <v>#DIV/0!</v>
      </c>
    </row>
    <row r="85" spans="1:49" ht="18" hidden="1" customHeight="1" x14ac:dyDescent="0.25">
      <c r="A85" s="957">
        <v>5</v>
      </c>
      <c r="B85" s="107" t="s">
        <v>60</v>
      </c>
      <c r="C85" s="78" t="s">
        <v>193</v>
      </c>
      <c r="D85" s="56">
        <v>490</v>
      </c>
      <c r="E85" s="57">
        <f t="shared" si="139"/>
        <v>9.3084504445947692E-5</v>
      </c>
      <c r="F85" s="167">
        <v>525</v>
      </c>
      <c r="G85" s="166">
        <f t="shared" si="140"/>
        <v>1.0269693898569461E-4</v>
      </c>
      <c r="H85" s="126">
        <v>236</v>
      </c>
      <c r="I85" s="57">
        <f t="shared" si="141"/>
        <v>4.3263053480650141E-5</v>
      </c>
      <c r="J85" s="167">
        <v>235</v>
      </c>
      <c r="K85" s="166">
        <f t="shared" si="142"/>
        <v>4.2053867962665471E-5</v>
      </c>
      <c r="L85" s="306">
        <v>425</v>
      </c>
      <c r="M85" s="214">
        <f t="shared" si="143"/>
        <v>8.2824950538888355E-5</v>
      </c>
      <c r="N85" s="508">
        <v>271</v>
      </c>
      <c r="O85" s="509">
        <f t="shared" si="144"/>
        <v>4.9885034324032936E-5</v>
      </c>
      <c r="P85" s="655">
        <v>206</v>
      </c>
      <c r="Q85" s="356">
        <f t="shared" si="145"/>
        <v>3.5469620356256181E-5</v>
      </c>
      <c r="R85" s="508">
        <v>198</v>
      </c>
      <c r="S85" s="509">
        <f t="shared" si="146"/>
        <v>3.7432996354442077E-5</v>
      </c>
      <c r="T85" s="355">
        <v>189</v>
      </c>
      <c r="U85" s="356">
        <f t="shared" si="147"/>
        <v>3.8879161098786809E-5</v>
      </c>
      <c r="V85" s="655">
        <v>158</v>
      </c>
      <c r="W85" s="860">
        <f t="shared" si="148"/>
        <v>2.9325899650854747E-5</v>
      </c>
      <c r="X85" s="655">
        <v>401</v>
      </c>
      <c r="Y85" s="860">
        <f t="shared" si="149"/>
        <v>7.4492918714293095E-5</v>
      </c>
      <c r="Z85" s="1084">
        <v>350</v>
      </c>
      <c r="AA85" s="1050">
        <f t="shared" si="150"/>
        <v>7.1065989847715741E-5</v>
      </c>
      <c r="AB85" s="1144">
        <f t="shared" si="151"/>
        <v>-50</v>
      </c>
      <c r="AC85" s="1131"/>
      <c r="AD85" s="421">
        <v>95</v>
      </c>
      <c r="AE85" s="748">
        <f t="shared" si="152"/>
        <v>2.0867742226711104E-5</v>
      </c>
      <c r="AF85" s="978">
        <f t="shared" si="153"/>
        <v>332</v>
      </c>
      <c r="AG85" s="782">
        <f t="shared" si="154"/>
        <v>6.9757278289517925E-5</v>
      </c>
      <c r="AH85" s="1001">
        <f t="shared" si="155"/>
        <v>-237</v>
      </c>
      <c r="AI85" s="451">
        <f t="shared" si="156"/>
        <v>-0.71385542168674698</v>
      </c>
      <c r="AJ85" s="1084">
        <v>400</v>
      </c>
      <c r="AK85" s="1050">
        <f t="shared" si="157"/>
        <v>7.4766355140186921E-5</v>
      </c>
      <c r="AL85" s="840">
        <v>500</v>
      </c>
      <c r="AM85" s="586">
        <f t="shared" si="158"/>
        <v>8.9285714285714286E-5</v>
      </c>
      <c r="AN85" s="978">
        <v>500</v>
      </c>
      <c r="AO85" s="782">
        <f t="shared" si="159"/>
        <v>8.9285714285714286E-5</v>
      </c>
      <c r="AP85" s="450">
        <f t="shared" si="160"/>
        <v>-321.66666666666663</v>
      </c>
      <c r="AQ85" s="451">
        <f t="shared" si="161"/>
        <v>-0.64333333333333331</v>
      </c>
      <c r="AR85" s="1009">
        <v>367</v>
      </c>
      <c r="AS85" s="748">
        <f t="shared" si="162"/>
        <v>7.7005699470884817E-5</v>
      </c>
      <c r="AT85" s="894">
        <v>395</v>
      </c>
      <c r="AU85" s="748">
        <f t="shared" si="163"/>
        <v>7.35564545788893E-5</v>
      </c>
      <c r="AV85" s="450">
        <f t="shared" si="164"/>
        <v>-272</v>
      </c>
      <c r="AW85" s="452">
        <f t="shared" si="165"/>
        <v>-0.74114441416893728</v>
      </c>
    </row>
    <row r="86" spans="1:49" ht="18" hidden="1" customHeight="1" x14ac:dyDescent="0.25">
      <c r="A86" s="956">
        <v>6</v>
      </c>
      <c r="B86" s="107" t="s">
        <v>61</v>
      </c>
      <c r="C86" s="78" t="s">
        <v>194</v>
      </c>
      <c r="D86" s="56">
        <v>8447</v>
      </c>
      <c r="E86" s="57">
        <f t="shared" si="139"/>
        <v>1.604662875622286E-3</v>
      </c>
      <c r="F86" s="167">
        <v>7787</v>
      </c>
      <c r="G86" s="166">
        <f t="shared" si="140"/>
        <v>1.5232401216792456E-3</v>
      </c>
      <c r="H86" s="126">
        <v>6440</v>
      </c>
      <c r="I86" s="57">
        <f t="shared" si="141"/>
        <v>1.1805680695567242E-3</v>
      </c>
      <c r="J86" s="167">
        <v>8287</v>
      </c>
      <c r="K86" s="166">
        <f t="shared" si="142"/>
        <v>1.4829804417302501E-3</v>
      </c>
      <c r="L86" s="306">
        <v>7267</v>
      </c>
      <c r="M86" s="214">
        <f t="shared" si="143"/>
        <v>1.4162092130967099E-3</v>
      </c>
      <c r="N86" s="508">
        <v>7953</v>
      </c>
      <c r="O86" s="509">
        <f t="shared" si="144"/>
        <v>1.4639692914355496E-3</v>
      </c>
      <c r="P86" s="655">
        <v>7554</v>
      </c>
      <c r="Q86" s="356">
        <f t="shared" si="145"/>
        <v>1.3006675348114522E-3</v>
      </c>
      <c r="R86" s="508">
        <v>7846</v>
      </c>
      <c r="S86" s="509">
        <f t="shared" si="146"/>
        <v>1.4833297444290532E-3</v>
      </c>
      <c r="T86" s="355">
        <v>8204</v>
      </c>
      <c r="U86" s="356">
        <f t="shared" si="147"/>
        <v>1.6876435854732642E-3</v>
      </c>
      <c r="V86" s="655">
        <v>4030</v>
      </c>
      <c r="W86" s="860">
        <f t="shared" si="148"/>
        <v>7.4799604805661165E-4</v>
      </c>
      <c r="X86" s="655">
        <v>3273</v>
      </c>
      <c r="Y86" s="860">
        <f t="shared" si="149"/>
        <v>6.0801826172538972E-4</v>
      </c>
      <c r="Z86" s="1084">
        <v>2500</v>
      </c>
      <c r="AA86" s="1050">
        <f t="shared" si="150"/>
        <v>5.0761421319796957E-4</v>
      </c>
      <c r="AB86" s="1144">
        <f t="shared" si="151"/>
        <v>-250</v>
      </c>
      <c r="AC86" s="1131"/>
      <c r="AD86" s="421">
        <v>1608</v>
      </c>
      <c r="AE86" s="748">
        <f t="shared" si="152"/>
        <v>3.5321399474264693E-4</v>
      </c>
      <c r="AF86" s="978">
        <f t="shared" si="153"/>
        <v>2282.5</v>
      </c>
      <c r="AG86" s="782">
        <f t="shared" si="154"/>
        <v>4.7958128824043567E-4</v>
      </c>
      <c r="AH86" s="1001">
        <f t="shared" si="155"/>
        <v>-674.5</v>
      </c>
      <c r="AI86" s="451">
        <f t="shared" si="156"/>
        <v>-0.29550930996714131</v>
      </c>
      <c r="AJ86" s="1084">
        <v>2750</v>
      </c>
      <c r="AK86" s="1050">
        <f t="shared" si="157"/>
        <v>5.1401869158878503E-4</v>
      </c>
      <c r="AL86" s="840">
        <v>3000</v>
      </c>
      <c r="AM86" s="586">
        <f t="shared" si="158"/>
        <v>5.3571428571428574E-4</v>
      </c>
      <c r="AN86" s="978">
        <v>3000</v>
      </c>
      <c r="AO86" s="782">
        <f t="shared" si="159"/>
        <v>5.3571428571428574E-4</v>
      </c>
      <c r="AP86" s="450">
        <f t="shared" si="160"/>
        <v>-892</v>
      </c>
      <c r="AQ86" s="451">
        <f t="shared" si="161"/>
        <v>-0.29733333333333334</v>
      </c>
      <c r="AR86" s="1009">
        <v>2002</v>
      </c>
      <c r="AS86" s="748">
        <f t="shared" si="162"/>
        <v>4.2006923798558964E-4</v>
      </c>
      <c r="AT86" s="894">
        <v>2449</v>
      </c>
      <c r="AU86" s="748">
        <f t="shared" si="163"/>
        <v>4.5605001838911364E-4</v>
      </c>
      <c r="AV86" s="450">
        <f t="shared" si="164"/>
        <v>-394</v>
      </c>
      <c r="AW86" s="452">
        <f t="shared" si="165"/>
        <v>-0.1968031968031968</v>
      </c>
    </row>
    <row r="87" spans="1:49" ht="18" hidden="1" customHeight="1" x14ac:dyDescent="0.25">
      <c r="A87" s="956">
        <v>7</v>
      </c>
      <c r="B87" s="107" t="s">
        <v>62</v>
      </c>
      <c r="C87" s="78" t="s">
        <v>195</v>
      </c>
      <c r="D87" s="56">
        <v>17893</v>
      </c>
      <c r="E87" s="57">
        <f t="shared" si="139"/>
        <v>3.3991041592884531E-3</v>
      </c>
      <c r="F87" s="167">
        <v>13135</v>
      </c>
      <c r="G87" s="166">
        <f t="shared" si="140"/>
        <v>2.5693796068135214E-3</v>
      </c>
      <c r="H87" s="126">
        <v>8013</v>
      </c>
      <c r="I87" s="57">
        <f t="shared" si="141"/>
        <v>1.4689273200866508E-3</v>
      </c>
      <c r="J87" s="167">
        <v>10680</v>
      </c>
      <c r="K87" s="166">
        <f t="shared" si="142"/>
        <v>1.9112140844309243E-3</v>
      </c>
      <c r="L87" s="306">
        <v>18656</v>
      </c>
      <c r="M87" s="214">
        <f t="shared" si="143"/>
        <v>3.6357230053023558E-3</v>
      </c>
      <c r="N87" s="508">
        <v>22024</v>
      </c>
      <c r="O87" s="509">
        <f t="shared" si="144"/>
        <v>4.054125446319193E-3</v>
      </c>
      <c r="P87" s="655">
        <v>22820</v>
      </c>
      <c r="Q87" s="356">
        <f t="shared" si="145"/>
        <v>3.9292074588823589E-3</v>
      </c>
      <c r="R87" s="508">
        <v>26177</v>
      </c>
      <c r="S87" s="509">
        <f t="shared" si="146"/>
        <v>4.9489067958092435E-3</v>
      </c>
      <c r="T87" s="355">
        <v>28099</v>
      </c>
      <c r="U87" s="356">
        <f t="shared" si="147"/>
        <v>5.780240993200055E-3</v>
      </c>
      <c r="V87" s="655">
        <v>29405</v>
      </c>
      <c r="W87" s="860">
        <f t="shared" si="148"/>
        <v>5.457772653375847E-3</v>
      </c>
      <c r="X87" s="655">
        <v>35567</v>
      </c>
      <c r="Y87" s="860">
        <f t="shared" si="149"/>
        <v>6.607206084566739E-3</v>
      </c>
      <c r="Z87" s="1084">
        <v>50655</v>
      </c>
      <c r="AA87" s="1050">
        <f t="shared" si="150"/>
        <v>1.028527918781726E-2</v>
      </c>
      <c r="AB87" s="1144">
        <f t="shared" si="151"/>
        <v>1250</v>
      </c>
      <c r="AC87" s="1131"/>
      <c r="AD87" s="421">
        <v>41152</v>
      </c>
      <c r="AE87" s="748">
        <f t="shared" si="152"/>
        <v>9.0394666117222678E-3</v>
      </c>
      <c r="AF87" s="978">
        <f t="shared" si="153"/>
        <v>41006.15</v>
      </c>
      <c r="AG87" s="782">
        <f t="shared" si="154"/>
        <v>8.6158958347340824E-3</v>
      </c>
      <c r="AH87" s="1001">
        <f t="shared" si="155"/>
        <v>145.84999999999854</v>
      </c>
      <c r="AI87" s="451">
        <f t="shared" si="156"/>
        <v>3.5567835556373504E-3</v>
      </c>
      <c r="AJ87" s="1084">
        <v>49405</v>
      </c>
      <c r="AK87" s="1050">
        <f t="shared" si="157"/>
        <v>9.2345794392523356E-3</v>
      </c>
      <c r="AL87" s="840">
        <v>49680</v>
      </c>
      <c r="AM87" s="586">
        <f t="shared" si="158"/>
        <v>8.8714285714285718E-3</v>
      </c>
      <c r="AN87" s="978">
        <v>49680</v>
      </c>
      <c r="AO87" s="782">
        <f t="shared" si="159"/>
        <v>8.8714285714285718E-3</v>
      </c>
      <c r="AP87" s="450">
        <f t="shared" si="160"/>
        <v>-248</v>
      </c>
      <c r="AQ87" s="451">
        <f t="shared" si="161"/>
        <v>-4.9919484702093397E-3</v>
      </c>
      <c r="AR87" s="1009">
        <v>37129</v>
      </c>
      <c r="AS87" s="748">
        <f t="shared" si="162"/>
        <v>7.7905847837996794E-3</v>
      </c>
      <c r="AT87" s="894">
        <v>44589</v>
      </c>
      <c r="AU87" s="748">
        <f t="shared" si="163"/>
        <v>8.3033132992863159E-3</v>
      </c>
      <c r="AV87" s="450">
        <f t="shared" si="164"/>
        <v>4023</v>
      </c>
      <c r="AW87" s="452">
        <f t="shared" si="165"/>
        <v>0.10835196207815993</v>
      </c>
    </row>
    <row r="88" spans="1:49" ht="18" hidden="1" customHeight="1" x14ac:dyDescent="0.25">
      <c r="A88" s="957">
        <v>8</v>
      </c>
      <c r="B88" s="107" t="s">
        <v>63</v>
      </c>
      <c r="C88" s="78" t="s">
        <v>5</v>
      </c>
      <c r="D88" s="56">
        <v>18740</v>
      </c>
      <c r="E88" s="57">
        <f t="shared" si="139"/>
        <v>3.5600073741164483E-3</v>
      </c>
      <c r="F88" s="167">
        <v>19589</v>
      </c>
      <c r="G88" s="166">
        <f t="shared" si="140"/>
        <v>3.8318673100776602E-3</v>
      </c>
      <c r="H88" s="126">
        <v>19867</v>
      </c>
      <c r="I88" s="57">
        <f t="shared" si="141"/>
        <v>3.6419791673732048E-3</v>
      </c>
      <c r="J88" s="167">
        <v>23577</v>
      </c>
      <c r="K88" s="166">
        <f t="shared" si="142"/>
        <v>4.2191661487479314E-3</v>
      </c>
      <c r="L88" s="306">
        <v>24227</v>
      </c>
      <c r="M88" s="214">
        <f t="shared" si="143"/>
        <v>4.7214119451897607E-3</v>
      </c>
      <c r="N88" s="508">
        <v>24167</v>
      </c>
      <c r="O88" s="509">
        <f t="shared" si="144"/>
        <v>4.4486037804756604E-3</v>
      </c>
      <c r="P88" s="655">
        <v>23880</v>
      </c>
      <c r="Q88" s="356">
        <f t="shared" si="145"/>
        <v>4.1117210393562991E-3</v>
      </c>
      <c r="R88" s="508">
        <v>24969</v>
      </c>
      <c r="S88" s="509">
        <f t="shared" si="146"/>
        <v>4.7205277069397181E-3</v>
      </c>
      <c r="T88" s="355">
        <v>25666</v>
      </c>
      <c r="U88" s="356">
        <f t="shared" si="147"/>
        <v>5.2797489352458312E-3</v>
      </c>
      <c r="V88" s="655">
        <v>24264</v>
      </c>
      <c r="W88" s="860">
        <f t="shared" si="148"/>
        <v>4.5035672729641747E-3</v>
      </c>
      <c r="X88" s="655">
        <v>24852</v>
      </c>
      <c r="Y88" s="860">
        <f t="shared" si="149"/>
        <v>4.6167032815152415E-3</v>
      </c>
      <c r="Z88" s="1084">
        <v>26560</v>
      </c>
      <c r="AA88" s="1050">
        <f t="shared" si="150"/>
        <v>5.3928934010152281E-3</v>
      </c>
      <c r="AB88" s="1144">
        <f t="shared" si="151"/>
        <v>0</v>
      </c>
      <c r="AC88" s="1131"/>
      <c r="AD88" s="421">
        <v>21709</v>
      </c>
      <c r="AE88" s="748">
        <f t="shared" si="152"/>
        <v>4.7686085894702249E-3</v>
      </c>
      <c r="AF88" s="978">
        <f t="shared" si="153"/>
        <v>22044.799999999999</v>
      </c>
      <c r="AG88" s="782">
        <f t="shared" si="154"/>
        <v>4.6318832784239894E-3</v>
      </c>
      <c r="AH88" s="1001">
        <f t="shared" si="155"/>
        <v>-335.79999999999927</v>
      </c>
      <c r="AI88" s="451">
        <f t="shared" si="156"/>
        <v>-1.5232617215851325E-2</v>
      </c>
      <c r="AJ88" s="1084">
        <v>26560</v>
      </c>
      <c r="AK88" s="1050">
        <f t="shared" si="157"/>
        <v>4.9644859813084115E-3</v>
      </c>
      <c r="AL88" s="840">
        <v>26560</v>
      </c>
      <c r="AM88" s="586">
        <f t="shared" si="158"/>
        <v>4.7428571428571433E-3</v>
      </c>
      <c r="AN88" s="978">
        <v>26560</v>
      </c>
      <c r="AO88" s="782">
        <f t="shared" si="159"/>
        <v>4.7428571428571433E-3</v>
      </c>
      <c r="AP88" s="450">
        <f t="shared" si="160"/>
        <v>-424.33333333333576</v>
      </c>
      <c r="AQ88" s="451">
        <f t="shared" si="161"/>
        <v>-1.5976405622490052E-2</v>
      </c>
      <c r="AR88" s="1009">
        <v>20908</v>
      </c>
      <c r="AS88" s="748">
        <f t="shared" si="162"/>
        <v>4.3870167971042503E-3</v>
      </c>
      <c r="AT88" s="894">
        <v>25177</v>
      </c>
      <c r="AU88" s="748">
        <f t="shared" si="163"/>
        <v>4.6884325491966987E-3</v>
      </c>
      <c r="AV88" s="450">
        <f t="shared" si="164"/>
        <v>801</v>
      </c>
      <c r="AW88" s="452">
        <f t="shared" si="165"/>
        <v>3.8310694471015878E-2</v>
      </c>
    </row>
    <row r="89" spans="1:49" ht="18" hidden="1" customHeight="1" x14ac:dyDescent="0.25">
      <c r="A89" s="956">
        <v>9</v>
      </c>
      <c r="B89" s="107" t="s">
        <v>64</v>
      </c>
      <c r="C89" s="79" t="s">
        <v>196</v>
      </c>
      <c r="D89" s="58">
        <v>13535</v>
      </c>
      <c r="E89" s="59">
        <f t="shared" si="139"/>
        <v>2.5712219748487797E-3</v>
      </c>
      <c r="F89" s="168">
        <v>16919</v>
      </c>
      <c r="G89" s="169">
        <f t="shared" si="140"/>
        <v>3.3095800203789849E-3</v>
      </c>
      <c r="H89" s="127">
        <v>17351</v>
      </c>
      <c r="I89" s="59">
        <f t="shared" si="141"/>
        <v>3.180751020943901E-3</v>
      </c>
      <c r="J89" s="168">
        <v>23436</v>
      </c>
      <c r="K89" s="169">
        <f t="shared" si="142"/>
        <v>4.1939338279703316E-3</v>
      </c>
      <c r="L89" s="308">
        <v>24017</v>
      </c>
      <c r="M89" s="215">
        <f t="shared" si="143"/>
        <v>4.6804866755117214E-3</v>
      </c>
      <c r="N89" s="511">
        <v>26162</v>
      </c>
      <c r="O89" s="512">
        <f t="shared" si="144"/>
        <v>4.8158386272522131E-3</v>
      </c>
      <c r="P89" s="657">
        <v>22737</v>
      </c>
      <c r="Q89" s="359">
        <f t="shared" si="145"/>
        <v>3.9149163011660036E-3</v>
      </c>
      <c r="R89" s="511">
        <v>24560</v>
      </c>
      <c r="S89" s="512">
        <f t="shared" si="146"/>
        <v>4.6432039922479663E-3</v>
      </c>
      <c r="T89" s="358">
        <v>25124</v>
      </c>
      <c r="U89" s="359">
        <f t="shared" si="147"/>
        <v>5.1682541981265592E-3</v>
      </c>
      <c r="V89" s="657">
        <v>27361</v>
      </c>
      <c r="W89" s="861">
        <f t="shared" si="148"/>
        <v>5.0783920275128906E-3</v>
      </c>
      <c r="X89" s="657">
        <v>29578</v>
      </c>
      <c r="Y89" s="861">
        <f t="shared" si="149"/>
        <v>5.494642268656761E-3</v>
      </c>
      <c r="Z89" s="1085">
        <v>37200</v>
      </c>
      <c r="AA89" s="1053">
        <f t="shared" si="150"/>
        <v>7.553299492385787E-3</v>
      </c>
      <c r="AB89" s="1144">
        <f t="shared" si="151"/>
        <v>855</v>
      </c>
      <c r="AC89" s="1132"/>
      <c r="AD89" s="425">
        <v>25960</v>
      </c>
      <c r="AE89" s="749">
        <f t="shared" si="152"/>
        <v>5.7023851390044242E-3</v>
      </c>
      <c r="AF89" s="978">
        <f t="shared" si="153"/>
        <v>30166.35</v>
      </c>
      <c r="AG89" s="785">
        <f t="shared" si="154"/>
        <v>6.3383206985813218E-3</v>
      </c>
      <c r="AH89" s="1001">
        <f t="shared" si="155"/>
        <v>-4206.3499999999985</v>
      </c>
      <c r="AI89" s="451">
        <f t="shared" si="156"/>
        <v>-0.1394384802934395</v>
      </c>
      <c r="AJ89" s="1085">
        <v>36345</v>
      </c>
      <c r="AK89" s="1053">
        <f t="shared" si="157"/>
        <v>6.7934579439252333E-3</v>
      </c>
      <c r="AL89" s="841">
        <v>36345</v>
      </c>
      <c r="AM89" s="589">
        <f t="shared" si="158"/>
        <v>6.4901785714285712E-3</v>
      </c>
      <c r="AN89" s="979">
        <v>36345</v>
      </c>
      <c r="AO89" s="785">
        <f t="shared" si="159"/>
        <v>6.4901785714285712E-3</v>
      </c>
      <c r="AP89" s="450">
        <f t="shared" si="160"/>
        <v>-4327.5</v>
      </c>
      <c r="AQ89" s="451">
        <f t="shared" si="161"/>
        <v>-0.11906727197688816</v>
      </c>
      <c r="AR89" s="1010">
        <v>24655</v>
      </c>
      <c r="AS89" s="749">
        <f t="shared" si="162"/>
        <v>5.1732303009663898E-3</v>
      </c>
      <c r="AT89" s="895">
        <v>29717</v>
      </c>
      <c r="AU89" s="749">
        <f t="shared" si="163"/>
        <v>5.5338662296730463E-3</v>
      </c>
      <c r="AV89" s="450">
        <f t="shared" si="164"/>
        <v>1305</v>
      </c>
      <c r="AW89" s="482">
        <f t="shared" si="165"/>
        <v>5.2930440073007505E-2</v>
      </c>
    </row>
    <row r="90" spans="1:49" ht="18" hidden="1" customHeight="1" thickBot="1" x14ac:dyDescent="0.3">
      <c r="A90" s="100"/>
      <c r="B90" s="101"/>
      <c r="C90" s="85" t="s">
        <v>197</v>
      </c>
      <c r="D90" s="39">
        <f>SUM(D81:D89)</f>
        <v>411238</v>
      </c>
      <c r="E90" s="41">
        <f t="shared" si="139"/>
        <v>7.8122215182331908E-2</v>
      </c>
      <c r="F90" s="182">
        <f>SUM(F81:F89)</f>
        <v>429527</v>
      </c>
      <c r="G90" s="183">
        <f t="shared" si="140"/>
        <v>8.4021158308016097E-2</v>
      </c>
      <c r="H90" s="135">
        <f>SUM(H81:H89)</f>
        <v>436238</v>
      </c>
      <c r="I90" s="41">
        <f t="shared" si="141"/>
        <v>7.9970287814795996E-2</v>
      </c>
      <c r="J90" s="182">
        <f>SUM(J81:J89)</f>
        <v>483408</v>
      </c>
      <c r="K90" s="183">
        <f t="shared" si="142"/>
        <v>8.6507132783388035E-2</v>
      </c>
      <c r="L90" s="319">
        <f>SUM(L81:L89)</f>
        <v>484624</v>
      </c>
      <c r="M90" s="223">
        <f t="shared" si="143"/>
        <v>9.4444609011666431E-2</v>
      </c>
      <c r="N90" s="533">
        <f>SUM(N81:N89)</f>
        <v>498356</v>
      </c>
      <c r="O90" s="534">
        <f t="shared" si="144"/>
        <v>9.1736185112869947E-2</v>
      </c>
      <c r="P90" s="675">
        <f>SUM(P81:P89)</f>
        <v>495076</v>
      </c>
      <c r="Q90" s="381">
        <f t="shared" si="145"/>
        <v>8.5243484308222733E-2</v>
      </c>
      <c r="R90" s="533">
        <f>SUM(R81:R89)</f>
        <v>520999</v>
      </c>
      <c r="S90" s="534">
        <f t="shared" si="146"/>
        <v>9.8497745796302869E-2</v>
      </c>
      <c r="T90" s="380">
        <f>SUM(T81:T89)</f>
        <v>565332</v>
      </c>
      <c r="U90" s="381">
        <f t="shared" si="147"/>
        <v>0.11629435927142509</v>
      </c>
      <c r="V90" s="675">
        <f>SUM(V81:V89)</f>
        <v>533434</v>
      </c>
      <c r="W90" s="872">
        <f t="shared" si="148"/>
        <v>9.9009063002240827E-2</v>
      </c>
      <c r="X90" s="675">
        <f>SUM(X81:X89)</f>
        <v>515182</v>
      </c>
      <c r="Y90" s="872">
        <f t="shared" si="149"/>
        <v>9.5704266456526049E-2</v>
      </c>
      <c r="Z90" s="1081">
        <f>SUM(Z81:Z89)</f>
        <v>549445</v>
      </c>
      <c r="AA90" s="1082">
        <f t="shared" si="150"/>
        <v>0.11156243654822336</v>
      </c>
      <c r="AB90" s="1155">
        <f>SUM(AB81:AB89)</f>
        <v>2505</v>
      </c>
      <c r="AC90" s="1137"/>
      <c r="AD90" s="558">
        <f>SUM(AD81:AD89)</f>
        <v>444501</v>
      </c>
      <c r="AE90" s="760">
        <f t="shared" si="152"/>
        <v>9.7639287237003297E-2</v>
      </c>
      <c r="AF90" s="1176">
        <f>SUM(AF81:AF89)</f>
        <v>449572.19999999995</v>
      </c>
      <c r="AG90" s="808">
        <f t="shared" si="154"/>
        <v>9.4460641766960257E-2</v>
      </c>
      <c r="AH90" s="474">
        <f>SUM(AH81:AH89)</f>
        <v>-5071.1999999999643</v>
      </c>
      <c r="AI90" s="468">
        <f>AH90/AF90</f>
        <v>-1.1280056907433255E-2</v>
      </c>
      <c r="AJ90" s="1081">
        <f>SUM(AJ81:AJ89)</f>
        <v>546940</v>
      </c>
      <c r="AK90" s="1082">
        <f t="shared" si="157"/>
        <v>0.10223177570093459</v>
      </c>
      <c r="AL90" s="613">
        <f>SUM(AL81:AL89)</f>
        <v>555565</v>
      </c>
      <c r="AM90" s="614">
        <f t="shared" si="158"/>
        <v>9.9208035714285714E-2</v>
      </c>
      <c r="AN90" s="807">
        <f>SUM(AN81:AN89)</f>
        <v>555565</v>
      </c>
      <c r="AO90" s="808">
        <f t="shared" si="159"/>
        <v>9.9208035714285714E-2</v>
      </c>
      <c r="AP90" s="474">
        <f>SUM(AP81:AP89)</f>
        <v>-18469.833333333354</v>
      </c>
      <c r="AQ90" s="468">
        <f>AP90/AN90</f>
        <v>-3.3245134832707884E-2</v>
      </c>
      <c r="AR90" s="739">
        <f>SUM(AR81:AR89)</f>
        <v>417736</v>
      </c>
      <c r="AS90" s="760">
        <f t="shared" si="162"/>
        <v>8.7651370229344799E-2</v>
      </c>
      <c r="AT90" s="903">
        <f>SUM(AT81:AT89)</f>
        <v>499211</v>
      </c>
      <c r="AU90" s="255">
        <f t="shared" si="163"/>
        <v>9.2962509485523814E-2</v>
      </c>
      <c r="AV90" s="474">
        <f>SUM(AV81:AV89)</f>
        <v>26765</v>
      </c>
      <c r="AW90" s="469">
        <f t="shared" si="165"/>
        <v>6.40715667311412E-2</v>
      </c>
    </row>
    <row r="91" spans="1:49" ht="18" hidden="1" customHeight="1" thickTop="1" x14ac:dyDescent="0.25">
      <c r="A91" s="100"/>
      <c r="B91" s="101"/>
      <c r="C91" s="81"/>
      <c r="D91" s="31"/>
      <c r="E91" s="30"/>
      <c r="F91" s="184"/>
      <c r="G91" s="162"/>
      <c r="H91" s="136"/>
      <c r="I91" s="30"/>
      <c r="J91" s="184"/>
      <c r="K91" s="162"/>
      <c r="L91" s="320"/>
      <c r="M91" s="212"/>
      <c r="N91" s="535"/>
      <c r="O91" s="507"/>
      <c r="P91" s="704"/>
      <c r="Q91" s="354"/>
      <c r="R91" s="535"/>
      <c r="S91" s="507"/>
      <c r="T91" s="382"/>
      <c r="U91" s="354"/>
      <c r="V91" s="670"/>
      <c r="W91" s="671"/>
      <c r="X91" s="888"/>
      <c r="Y91" s="671"/>
      <c r="Z91" s="1073"/>
      <c r="AA91" s="1074"/>
      <c r="AB91" s="1149"/>
      <c r="AC91" s="1130"/>
      <c r="AD91" s="640"/>
      <c r="AE91" s="641"/>
      <c r="AF91" s="974"/>
      <c r="AG91" s="975"/>
      <c r="AH91" s="642"/>
      <c r="AI91" s="643"/>
      <c r="AJ91" s="1073"/>
      <c r="AK91" s="1074"/>
      <c r="AL91" s="767"/>
      <c r="AM91" s="721"/>
      <c r="AN91" s="974"/>
      <c r="AO91" s="975"/>
      <c r="AP91" s="642"/>
      <c r="AQ91" s="643"/>
      <c r="AR91" s="640"/>
      <c r="AS91" s="641"/>
      <c r="AT91" s="899"/>
      <c r="AU91" s="641"/>
      <c r="AV91" s="642"/>
      <c r="AW91" s="643"/>
    </row>
    <row r="92" spans="1:49" ht="18" hidden="1" customHeight="1" x14ac:dyDescent="0.25">
      <c r="A92" s="100"/>
      <c r="B92" s="101"/>
      <c r="C92" s="76" t="s">
        <v>26</v>
      </c>
      <c r="D92" s="29"/>
      <c r="E92" s="30"/>
      <c r="F92" s="161" t="s">
        <v>172</v>
      </c>
      <c r="G92" s="162"/>
      <c r="H92" s="123"/>
      <c r="I92" s="30"/>
      <c r="J92" s="161"/>
      <c r="K92" s="162"/>
      <c r="L92" s="305"/>
      <c r="M92" s="212"/>
      <c r="N92" s="506"/>
      <c r="O92" s="507"/>
      <c r="P92" s="654"/>
      <c r="Q92" s="354"/>
      <c r="R92" s="506"/>
      <c r="S92" s="507"/>
      <c r="T92" s="353"/>
      <c r="U92" s="354"/>
      <c r="V92" s="672"/>
      <c r="W92" s="673"/>
      <c r="X92" s="889"/>
      <c r="Y92" s="673"/>
      <c r="Z92" s="1075"/>
      <c r="AA92" s="1076"/>
      <c r="AB92" s="1149"/>
      <c r="AC92" s="1130"/>
      <c r="AD92" s="636"/>
      <c r="AE92" s="637"/>
      <c r="AF92" s="976"/>
      <c r="AG92" s="977"/>
      <c r="AH92" s="639"/>
      <c r="AI92" s="493"/>
      <c r="AJ92" s="1075"/>
      <c r="AK92" s="1076"/>
      <c r="AL92" s="720"/>
      <c r="AM92" s="719"/>
      <c r="AN92" s="976"/>
      <c r="AO92" s="977"/>
      <c r="AP92" s="639"/>
      <c r="AQ92" s="493"/>
      <c r="AR92" s="636"/>
      <c r="AS92" s="637"/>
      <c r="AT92" s="904"/>
      <c r="AU92" s="637"/>
      <c r="AV92" s="639"/>
      <c r="AW92" s="493"/>
    </row>
    <row r="93" spans="1:49" s="4" customFormat="1" ht="18" hidden="1" customHeight="1" x14ac:dyDescent="0.25">
      <c r="A93" s="102"/>
      <c r="B93" s="103"/>
      <c r="C93" s="108" t="s">
        <v>186</v>
      </c>
      <c r="D93" s="109">
        <v>5.85</v>
      </c>
      <c r="E93" s="111"/>
      <c r="F93" s="180">
        <v>4.8499999999999996</v>
      </c>
      <c r="G93" s="185"/>
      <c r="H93" s="134">
        <v>4.8499999999999996</v>
      </c>
      <c r="I93" s="111"/>
      <c r="J93" s="180">
        <v>4.8499999999999996</v>
      </c>
      <c r="K93" s="185"/>
      <c r="L93" s="318">
        <v>4.8499999999999996</v>
      </c>
      <c r="M93" s="224"/>
      <c r="N93" s="531">
        <v>5.32</v>
      </c>
      <c r="O93" s="536"/>
      <c r="P93" s="674">
        <v>6</v>
      </c>
      <c r="Q93" s="383"/>
      <c r="R93" s="531">
        <v>6</v>
      </c>
      <c r="S93" s="536"/>
      <c r="T93" s="378">
        <v>6</v>
      </c>
      <c r="U93" s="383"/>
      <c r="V93" s="674">
        <v>6</v>
      </c>
      <c r="W93" s="873"/>
      <c r="X93" s="674">
        <v>6</v>
      </c>
      <c r="Y93" s="873"/>
      <c r="Z93" s="1077">
        <v>5.8</v>
      </c>
      <c r="AA93" s="1083"/>
      <c r="AB93" s="1156"/>
      <c r="AC93" s="1138"/>
      <c r="AD93" s="433">
        <v>6</v>
      </c>
      <c r="AE93" s="761"/>
      <c r="AF93" s="1177">
        <v>6</v>
      </c>
      <c r="AG93" s="809"/>
      <c r="AH93" s="476"/>
      <c r="AI93" s="451"/>
      <c r="AJ93" s="1077">
        <v>6</v>
      </c>
      <c r="AK93" s="1083"/>
      <c r="AL93" s="611">
        <v>6</v>
      </c>
      <c r="AM93" s="615"/>
      <c r="AN93" s="803">
        <v>6</v>
      </c>
      <c r="AO93" s="809"/>
      <c r="AP93" s="476"/>
      <c r="AQ93" s="451"/>
      <c r="AR93" s="734">
        <v>6</v>
      </c>
      <c r="AS93" s="761"/>
      <c r="AT93" s="901">
        <v>6</v>
      </c>
      <c r="AU93" s="256"/>
      <c r="AV93" s="476"/>
      <c r="AW93" s="452"/>
    </row>
    <row r="94" spans="1:49" ht="18" hidden="1" customHeight="1" x14ac:dyDescent="0.25">
      <c r="A94" s="104">
        <v>1</v>
      </c>
      <c r="B94" s="105" t="s">
        <v>36</v>
      </c>
      <c r="C94" s="77" t="s">
        <v>187</v>
      </c>
      <c r="D94" s="54">
        <v>283090</v>
      </c>
      <c r="E94" s="55">
        <f t="shared" ref="E94:E99" si="166">D94/D$11</f>
        <v>5.3778147680823125E-2</v>
      </c>
      <c r="F94" s="163">
        <v>251885</v>
      </c>
      <c r="G94" s="164">
        <f t="shared" ref="G94:G99" si="167">F94/F$11</f>
        <v>4.9272035193165115E-2</v>
      </c>
      <c r="H94" s="124">
        <v>262302</v>
      </c>
      <c r="I94" s="55">
        <f t="shared" ref="I94:I99" si="168">H94/H$11</f>
        <v>4.8084684127463952E-2</v>
      </c>
      <c r="J94" s="163">
        <f>280427+702</f>
        <v>281129</v>
      </c>
      <c r="K94" s="164">
        <f t="shared" ref="K94:K99" si="169">J94/J$11</f>
        <v>5.0308773814792263E-2</v>
      </c>
      <c r="L94" s="313">
        <f>283423+530</f>
        <v>283953</v>
      </c>
      <c r="M94" s="213">
        <f t="shared" ref="M94:M99" si="170">L94/L$11</f>
        <v>5.5337395718515217E-2</v>
      </c>
      <c r="N94" s="520">
        <v>296266</v>
      </c>
      <c r="O94" s="521">
        <f t="shared" ref="O94:O104" si="171">N94/N$11</f>
        <v>5.4535939406066207E-2</v>
      </c>
      <c r="P94" s="663">
        <v>310011</v>
      </c>
      <c r="Q94" s="368">
        <f t="shared" ref="Q94:Q104" si="172">P94/P$11</f>
        <v>5.3378507166326868E-2</v>
      </c>
      <c r="R94" s="520">
        <v>310292</v>
      </c>
      <c r="S94" s="521">
        <f t="shared" ref="S94:S104" si="173">R94/R$11</f>
        <v>5.8662420731376473E-2</v>
      </c>
      <c r="T94" s="367">
        <v>311037</v>
      </c>
      <c r="U94" s="368">
        <f t="shared" ref="U94:U104" si="174">T94/T$11</f>
        <v>6.3983373707319324E-2</v>
      </c>
      <c r="V94" s="663">
        <v>293935</v>
      </c>
      <c r="W94" s="871">
        <f t="shared" ref="W94:W104" si="175">V94/V$11</f>
        <v>5.4556381733379684E-2</v>
      </c>
      <c r="X94" s="663">
        <v>292353</v>
      </c>
      <c r="Y94" s="871">
        <f t="shared" ref="Y94:Y104" si="176">X94/X$11</f>
        <v>5.4309796171769897E-2</v>
      </c>
      <c r="Z94" s="1084">
        <v>294965</v>
      </c>
      <c r="AA94" s="1080">
        <f t="shared" ref="AA94:AA104" si="177">Z94/Z$11</f>
        <v>5.9891370558375637E-2</v>
      </c>
      <c r="AB94" s="1144">
        <f t="shared" ref="AB94:AB103" si="178">Z94-AJ94</f>
        <v>-3030</v>
      </c>
      <c r="AC94" s="1136"/>
      <c r="AD94" s="557">
        <v>248845</v>
      </c>
      <c r="AE94" s="753">
        <f t="shared" ref="AE94:AE104" si="179">AD94/AD$11</f>
        <v>5.4661403309536054E-2</v>
      </c>
      <c r="AF94" s="978">
        <f t="shared" ref="AF94:AF103" si="180">AJ94*$AX$3</f>
        <v>247335.84999999998</v>
      </c>
      <c r="AG94" s="806">
        <f t="shared" ref="AG94:AG104" si="181">AF94/AF$11</f>
        <v>5.1968300359712227E-2</v>
      </c>
      <c r="AH94" s="1001">
        <f t="shared" ref="AH94:AH103" si="182">AD94-AF94</f>
        <v>1509.1500000000233</v>
      </c>
      <c r="AI94" s="451">
        <f t="shared" ref="AI94:AI103" si="183">AH94/AF94</f>
        <v>6.1016225508757566E-3</v>
      </c>
      <c r="AJ94" s="1084">
        <v>297995</v>
      </c>
      <c r="AK94" s="1080">
        <f t="shared" ref="AK94:AK104" si="184">AJ94/AJ$11</f>
        <v>5.57E-2</v>
      </c>
      <c r="AL94" s="840">
        <v>305225</v>
      </c>
      <c r="AM94" s="598">
        <f t="shared" ref="AM94:AM104" si="185">AL94/AL$11</f>
        <v>5.4504464285714288E-2</v>
      </c>
      <c r="AN94" s="978">
        <v>305225</v>
      </c>
      <c r="AO94" s="806">
        <f t="shared" ref="AO94:AO104" si="186">AN94/AN$11</f>
        <v>5.4504464285714288E-2</v>
      </c>
      <c r="AP94" s="450">
        <f t="shared" ref="AP94:AP103" si="187">$AD94-(AL94/12*$AX$1)</f>
        <v>-5509.1666666666861</v>
      </c>
      <c r="AQ94" s="451">
        <f t="shared" ref="AQ94:AQ103" si="188">AP94/AN94</f>
        <v>-1.8049526305730808E-2</v>
      </c>
      <c r="AR94" s="1014">
        <v>229060</v>
      </c>
      <c r="AS94" s="753">
        <f t="shared" ref="AS94:AS104" si="189">AR94/AR$11</f>
        <v>4.8062467359130452E-2</v>
      </c>
      <c r="AT94" s="902">
        <v>275728</v>
      </c>
      <c r="AU94" s="753">
        <f t="shared" ref="AU94:AU104" si="190">AT94/AT$11</f>
        <v>5.1345757235767057E-2</v>
      </c>
      <c r="AV94" s="450">
        <f t="shared" ref="AV94:AV103" si="191">AD94-AR94</f>
        <v>19785</v>
      </c>
      <c r="AW94" s="452">
        <f t="shared" ref="AW94:AW104" si="192">AV94/AR94</f>
        <v>8.6374748974067925E-2</v>
      </c>
    </row>
    <row r="95" spans="1:49" ht="18" hidden="1" customHeight="1" x14ac:dyDescent="0.25">
      <c r="A95" s="104">
        <v>2</v>
      </c>
      <c r="B95" s="107" t="s">
        <v>37</v>
      </c>
      <c r="C95" s="78" t="s">
        <v>246</v>
      </c>
      <c r="D95" s="56">
        <v>10104</v>
      </c>
      <c r="E95" s="57">
        <f t="shared" si="166"/>
        <v>1.9194404753507255E-3</v>
      </c>
      <c r="F95" s="167">
        <v>31350</v>
      </c>
      <c r="G95" s="166">
        <f t="shared" si="167"/>
        <v>6.1324743565743349E-3</v>
      </c>
      <c r="H95" s="126">
        <v>37742</v>
      </c>
      <c r="I95" s="57">
        <f t="shared" si="168"/>
        <v>6.9187888324860067E-3</v>
      </c>
      <c r="J95" s="167">
        <v>39028</v>
      </c>
      <c r="K95" s="166">
        <f t="shared" si="169"/>
        <v>6.9841632291357788E-3</v>
      </c>
      <c r="L95" s="306">
        <v>29004</v>
      </c>
      <c r="M95" s="214">
        <f t="shared" si="170"/>
        <v>5.6523643892468656E-3</v>
      </c>
      <c r="N95" s="508">
        <v>13150</v>
      </c>
      <c r="O95" s="509">
        <f t="shared" si="171"/>
        <v>2.4206206692289046E-3</v>
      </c>
      <c r="P95" s="655">
        <v>14500</v>
      </c>
      <c r="Q95" s="356">
        <f t="shared" si="172"/>
        <v>2.4966480347850223E-3</v>
      </c>
      <c r="R95" s="508">
        <v>13808</v>
      </c>
      <c r="S95" s="509">
        <f t="shared" si="173"/>
        <v>2.6104788568794756E-3</v>
      </c>
      <c r="T95" s="355">
        <v>13210</v>
      </c>
      <c r="U95" s="356">
        <f t="shared" si="174"/>
        <v>2.7174270799734056E-3</v>
      </c>
      <c r="V95" s="655">
        <v>12930</v>
      </c>
      <c r="W95" s="860">
        <f t="shared" si="175"/>
        <v>2.3998979904148853E-3</v>
      </c>
      <c r="X95" s="655">
        <v>3800</v>
      </c>
      <c r="Y95" s="860">
        <f t="shared" si="176"/>
        <v>7.0591793295340086E-4</v>
      </c>
      <c r="Z95" s="1084">
        <f>10000-2000</f>
        <v>8000</v>
      </c>
      <c r="AA95" s="1050">
        <f t="shared" si="177"/>
        <v>1.6243654822335025E-3</v>
      </c>
      <c r="AB95" s="1144">
        <f t="shared" si="178"/>
        <v>2000</v>
      </c>
      <c r="AC95" s="1131"/>
      <c r="AD95" s="421">
        <v>4100</v>
      </c>
      <c r="AE95" s="748">
        <f t="shared" si="179"/>
        <v>9.0060782241595293E-4</v>
      </c>
      <c r="AF95" s="978">
        <f t="shared" si="180"/>
        <v>4980</v>
      </c>
      <c r="AG95" s="782">
        <f t="shared" si="181"/>
        <v>1.0463591743427687E-3</v>
      </c>
      <c r="AH95" s="1001">
        <f t="shared" si="182"/>
        <v>-880</v>
      </c>
      <c r="AI95" s="451">
        <f t="shared" si="183"/>
        <v>-0.17670682730923695</v>
      </c>
      <c r="AJ95" s="1084">
        <v>6000</v>
      </c>
      <c r="AK95" s="1050">
        <f t="shared" si="184"/>
        <v>1.1214953271028037E-3</v>
      </c>
      <c r="AL95" s="840">
        <v>6000</v>
      </c>
      <c r="AM95" s="586">
        <f t="shared" si="185"/>
        <v>1.0714285714285715E-3</v>
      </c>
      <c r="AN95" s="978">
        <v>6000</v>
      </c>
      <c r="AO95" s="782">
        <f t="shared" si="186"/>
        <v>1.0714285714285715E-3</v>
      </c>
      <c r="AP95" s="450">
        <f t="shared" si="187"/>
        <v>-900</v>
      </c>
      <c r="AQ95" s="451">
        <f t="shared" si="188"/>
        <v>-0.15</v>
      </c>
      <c r="AR95" s="1013">
        <v>10790</v>
      </c>
      <c r="AS95" s="748">
        <f t="shared" si="189"/>
        <v>2.2640095294028531E-3</v>
      </c>
      <c r="AT95" s="894">
        <v>14290</v>
      </c>
      <c r="AU95" s="748">
        <f t="shared" si="190"/>
        <v>2.6610676859046278E-3</v>
      </c>
      <c r="AV95" s="450">
        <f t="shared" si="191"/>
        <v>-6690</v>
      </c>
      <c r="AW95" s="452">
        <f t="shared" si="192"/>
        <v>-0.62001853568118626</v>
      </c>
    </row>
    <row r="96" spans="1:49" ht="18" hidden="1" customHeight="1" x14ac:dyDescent="0.25">
      <c r="A96" s="104">
        <v>3</v>
      </c>
      <c r="B96" s="107" t="s">
        <v>10</v>
      </c>
      <c r="C96" s="78" t="s">
        <v>356</v>
      </c>
      <c r="D96" s="56">
        <v>2359</v>
      </c>
      <c r="E96" s="57">
        <f t="shared" si="166"/>
        <v>4.4813539997549105E-4</v>
      </c>
      <c r="F96" s="167">
        <v>1683</v>
      </c>
      <c r="G96" s="166">
        <f t="shared" si="167"/>
        <v>3.2921704440556958E-4</v>
      </c>
      <c r="H96" s="126">
        <v>2278</v>
      </c>
      <c r="I96" s="57">
        <f t="shared" si="168"/>
        <v>4.1759845690220773E-4</v>
      </c>
      <c r="J96" s="167">
        <f>1084+232</f>
        <v>1316</v>
      </c>
      <c r="K96" s="166">
        <f t="shared" si="169"/>
        <v>2.3550166059092663E-4</v>
      </c>
      <c r="L96" s="306">
        <v>731</v>
      </c>
      <c r="M96" s="214">
        <f t="shared" si="170"/>
        <v>1.4245891492688798E-4</v>
      </c>
      <c r="N96" s="508">
        <v>745</v>
      </c>
      <c r="O96" s="509">
        <f t="shared" si="171"/>
        <v>1.3713782498673261E-4</v>
      </c>
      <c r="P96" s="655">
        <v>950</v>
      </c>
      <c r="Q96" s="356">
        <f t="shared" si="172"/>
        <v>1.6357349193419111E-4</v>
      </c>
      <c r="R96" s="508">
        <v>596</v>
      </c>
      <c r="S96" s="509">
        <f t="shared" si="173"/>
        <v>1.1267710013761353E-4</v>
      </c>
      <c r="T96" s="355">
        <v>410</v>
      </c>
      <c r="U96" s="356">
        <f t="shared" si="174"/>
        <v>8.4341037304246509E-5</v>
      </c>
      <c r="V96" s="655">
        <v>58</v>
      </c>
      <c r="W96" s="860">
        <f t="shared" si="175"/>
        <v>1.076520366930111E-5</v>
      </c>
      <c r="X96" s="655">
        <v>1954</v>
      </c>
      <c r="Y96" s="860">
        <f t="shared" si="176"/>
        <v>3.6299043183972245E-4</v>
      </c>
      <c r="Z96" s="1084">
        <v>1100</v>
      </c>
      <c r="AA96" s="1050">
        <f t="shared" si="177"/>
        <v>2.2335025380710661E-4</v>
      </c>
      <c r="AB96" s="1144">
        <f t="shared" si="178"/>
        <v>-250</v>
      </c>
      <c r="AC96" s="1131"/>
      <c r="AD96" s="421">
        <f>743+39</f>
        <v>782</v>
      </c>
      <c r="AE96" s="748">
        <f t="shared" si="179"/>
        <v>1.7177446759250616E-4</v>
      </c>
      <c r="AF96" s="978">
        <f t="shared" si="180"/>
        <v>1120.5</v>
      </c>
      <c r="AG96" s="782">
        <f t="shared" si="181"/>
        <v>2.3543081422712297E-4</v>
      </c>
      <c r="AH96" s="1001">
        <f t="shared" si="182"/>
        <v>-338.5</v>
      </c>
      <c r="AI96" s="451">
        <f t="shared" si="183"/>
        <v>-0.30209727800089248</v>
      </c>
      <c r="AJ96" s="1084">
        <v>1350</v>
      </c>
      <c r="AK96" s="1050">
        <f t="shared" si="184"/>
        <v>2.5233644859813084E-4</v>
      </c>
      <c r="AL96" s="840">
        <v>1350</v>
      </c>
      <c r="AM96" s="586">
        <f t="shared" si="185"/>
        <v>2.4107142857142857E-4</v>
      </c>
      <c r="AN96" s="978">
        <v>1350</v>
      </c>
      <c r="AO96" s="782">
        <f t="shared" si="186"/>
        <v>2.4107142857142857E-4</v>
      </c>
      <c r="AP96" s="450">
        <f t="shared" si="187"/>
        <v>-343</v>
      </c>
      <c r="AQ96" s="451">
        <f t="shared" si="188"/>
        <v>-0.25407407407407406</v>
      </c>
      <c r="AR96" s="1013">
        <v>1084</v>
      </c>
      <c r="AS96" s="748">
        <f t="shared" si="189"/>
        <v>2.2745007691127832E-4</v>
      </c>
      <c r="AT96" s="894">
        <f>255+839</f>
        <v>1094</v>
      </c>
      <c r="AU96" s="748">
        <f t="shared" si="190"/>
        <v>2.0372344635267062E-4</v>
      </c>
      <c r="AV96" s="450">
        <f t="shared" si="191"/>
        <v>-302</v>
      </c>
      <c r="AW96" s="452">
        <f t="shared" si="192"/>
        <v>-0.27859778597785978</v>
      </c>
    </row>
    <row r="97" spans="1:49" ht="18" hidden="1" customHeight="1" x14ac:dyDescent="0.25">
      <c r="A97" s="104">
        <v>4</v>
      </c>
      <c r="B97" s="107" t="s">
        <v>38</v>
      </c>
      <c r="C97" s="78" t="s">
        <v>190</v>
      </c>
      <c r="D97" s="56">
        <v>1069</v>
      </c>
      <c r="E97" s="57">
        <f t="shared" si="166"/>
        <v>2.0307619439330221E-4</v>
      </c>
      <c r="F97" s="167">
        <v>611</v>
      </c>
      <c r="G97" s="166">
        <f t="shared" si="167"/>
        <v>1.1951967565763697E-4</v>
      </c>
      <c r="H97" s="126">
        <v>602</v>
      </c>
      <c r="I97" s="57">
        <f t="shared" si="168"/>
        <v>1.1035744998030248E-4</v>
      </c>
      <c r="J97" s="167">
        <v>651</v>
      </c>
      <c r="K97" s="166">
        <f t="shared" si="169"/>
        <v>1.1649816188806477E-4</v>
      </c>
      <c r="L97" s="306">
        <v>641</v>
      </c>
      <c r="M97" s="214">
        <f t="shared" si="170"/>
        <v>1.2491951363629986E-4</v>
      </c>
      <c r="N97" s="508">
        <v>948</v>
      </c>
      <c r="O97" s="509">
        <f t="shared" si="171"/>
        <v>1.7450558132539934E-4</v>
      </c>
      <c r="P97" s="655">
        <v>983</v>
      </c>
      <c r="Q97" s="356">
        <f t="shared" si="172"/>
        <v>1.6925551849611564E-4</v>
      </c>
      <c r="R97" s="508">
        <v>1092</v>
      </c>
      <c r="S97" s="509">
        <f t="shared" si="173"/>
        <v>2.0644864656086236E-4</v>
      </c>
      <c r="T97" s="355">
        <v>993</v>
      </c>
      <c r="U97" s="356">
        <f t="shared" si="174"/>
        <v>2.0426987815394337E-4</v>
      </c>
      <c r="V97" s="655">
        <v>887</v>
      </c>
      <c r="W97" s="860">
        <f t="shared" si="175"/>
        <v>1.6463337335638077E-4</v>
      </c>
      <c r="X97" s="655">
        <v>744</v>
      </c>
      <c r="Y97" s="860">
        <f t="shared" si="176"/>
        <v>1.3821130055719218E-4</v>
      </c>
      <c r="Z97" s="1084">
        <v>750</v>
      </c>
      <c r="AA97" s="1050">
        <f t="shared" si="177"/>
        <v>1.5228426395939087E-4</v>
      </c>
      <c r="AB97" s="1144">
        <f t="shared" si="178"/>
        <v>0</v>
      </c>
      <c r="AC97" s="1131"/>
      <c r="AD97" s="421">
        <v>712</v>
      </c>
      <c r="AE97" s="748">
        <f t="shared" si="179"/>
        <v>1.5639823647808744E-4</v>
      </c>
      <c r="AF97" s="978">
        <f t="shared" si="180"/>
        <v>622.5</v>
      </c>
      <c r="AG97" s="782">
        <f t="shared" si="181"/>
        <v>1.3079489679284609E-4</v>
      </c>
      <c r="AH97" s="1001">
        <f t="shared" si="182"/>
        <v>89.5</v>
      </c>
      <c r="AI97" s="451">
        <f t="shared" si="183"/>
        <v>0.14377510040160643</v>
      </c>
      <c r="AJ97" s="1084">
        <v>750</v>
      </c>
      <c r="AK97" s="1050">
        <f t="shared" si="184"/>
        <v>1.4018691588785047E-4</v>
      </c>
      <c r="AL97" s="840">
        <v>1000</v>
      </c>
      <c r="AM97" s="586">
        <f t="shared" si="185"/>
        <v>1.7857142857142857E-4</v>
      </c>
      <c r="AN97" s="978">
        <v>1000</v>
      </c>
      <c r="AO97" s="782">
        <f t="shared" si="186"/>
        <v>1.7857142857142857E-4</v>
      </c>
      <c r="AP97" s="450">
        <f t="shared" si="187"/>
        <v>-121.33333333333326</v>
      </c>
      <c r="AQ97" s="451">
        <f t="shared" si="188"/>
        <v>-0.12133333333333325</v>
      </c>
      <c r="AR97" s="1013">
        <v>606</v>
      </c>
      <c r="AS97" s="748">
        <f t="shared" si="189"/>
        <v>1.2715382528434932E-4</v>
      </c>
      <c r="AT97" s="894">
        <v>630</v>
      </c>
      <c r="AU97" s="748">
        <f t="shared" si="190"/>
        <v>1.1731788958151964E-4</v>
      </c>
      <c r="AV97" s="450">
        <f t="shared" si="191"/>
        <v>106</v>
      </c>
      <c r="AW97" s="452">
        <f t="shared" si="192"/>
        <v>0.17491749174917492</v>
      </c>
    </row>
    <row r="98" spans="1:49" ht="18" hidden="1" customHeight="1" x14ac:dyDescent="0.25">
      <c r="A98" s="956">
        <v>5</v>
      </c>
      <c r="B98" s="107" t="s">
        <v>39</v>
      </c>
      <c r="C98" s="78" t="s">
        <v>192</v>
      </c>
      <c r="D98" s="56">
        <v>1450</v>
      </c>
      <c r="E98" s="57">
        <f t="shared" si="166"/>
        <v>2.7545414580943707E-4</v>
      </c>
      <c r="F98" s="167">
        <v>300</v>
      </c>
      <c r="G98" s="166">
        <f t="shared" si="167"/>
        <v>5.8683965134682637E-5</v>
      </c>
      <c r="H98" s="126">
        <v>253</v>
      </c>
      <c r="I98" s="57">
        <f t="shared" si="168"/>
        <v>4.6379459875442737E-5</v>
      </c>
      <c r="J98" s="167">
        <v>39</v>
      </c>
      <c r="K98" s="166">
        <f t="shared" si="169"/>
        <v>6.9791525555061843E-6</v>
      </c>
      <c r="L98" s="306">
        <v>169</v>
      </c>
      <c r="M98" s="214">
        <f t="shared" si="170"/>
        <v>3.2935097978993255E-5</v>
      </c>
      <c r="N98" s="508">
        <v>1999</v>
      </c>
      <c r="O98" s="509">
        <f t="shared" si="171"/>
        <v>3.6797115724627983E-4</v>
      </c>
      <c r="P98" s="655">
        <v>890</v>
      </c>
      <c r="Q98" s="356">
        <f t="shared" si="172"/>
        <v>1.5324253454887377E-4</v>
      </c>
      <c r="R98" s="508">
        <v>1767</v>
      </c>
      <c r="S98" s="509">
        <f t="shared" si="173"/>
        <v>3.3406113413282401E-4</v>
      </c>
      <c r="T98" s="355">
        <v>79</v>
      </c>
      <c r="U98" s="356">
        <f t="shared" si="174"/>
        <v>1.6251077919598719E-5</v>
      </c>
      <c r="V98" s="655">
        <v>488</v>
      </c>
      <c r="W98" s="860">
        <f t="shared" si="175"/>
        <v>9.0576196389981759E-5</v>
      </c>
      <c r="X98" s="655">
        <v>1988</v>
      </c>
      <c r="Y98" s="860">
        <f t="shared" si="176"/>
        <v>3.6930653966088447E-4</v>
      </c>
      <c r="Z98" s="1084">
        <v>1000</v>
      </c>
      <c r="AA98" s="1050">
        <f t="shared" si="177"/>
        <v>2.0304568527918781E-4</v>
      </c>
      <c r="AB98" s="1144">
        <f t="shared" si="178"/>
        <v>0</v>
      </c>
      <c r="AC98" s="1131"/>
      <c r="AD98" s="421">
        <v>911</v>
      </c>
      <c r="AE98" s="748">
        <f t="shared" si="179"/>
        <v>2.001106649319349E-4</v>
      </c>
      <c r="AF98" s="978">
        <f t="shared" si="180"/>
        <v>830</v>
      </c>
      <c r="AG98" s="782">
        <f t="shared" si="181"/>
        <v>1.7439319572379479E-4</v>
      </c>
      <c r="AH98" s="1001">
        <f t="shared" si="182"/>
        <v>81</v>
      </c>
      <c r="AI98" s="451">
        <f t="shared" si="183"/>
        <v>9.7590361445783133E-2</v>
      </c>
      <c r="AJ98" s="1084">
        <v>1000</v>
      </c>
      <c r="AK98" s="1050">
        <f t="shared" si="184"/>
        <v>1.8691588785046728E-4</v>
      </c>
      <c r="AL98" s="840">
        <v>1000</v>
      </c>
      <c r="AM98" s="586">
        <f t="shared" si="185"/>
        <v>1.7857142857142857E-4</v>
      </c>
      <c r="AN98" s="978">
        <v>1000</v>
      </c>
      <c r="AO98" s="782">
        <f t="shared" si="186"/>
        <v>1.7857142857142857E-4</v>
      </c>
      <c r="AP98" s="450">
        <f t="shared" si="187"/>
        <v>77.666666666666742</v>
      </c>
      <c r="AQ98" s="451">
        <f t="shared" si="188"/>
        <v>7.7666666666666745E-2</v>
      </c>
      <c r="AR98" s="1011">
        <v>631</v>
      </c>
      <c r="AS98" s="748">
        <f t="shared" si="189"/>
        <v>1.3239944513931422E-4</v>
      </c>
      <c r="AT98" s="894">
        <v>710</v>
      </c>
      <c r="AU98" s="748">
        <f t="shared" si="190"/>
        <v>1.3221539936964912E-4</v>
      </c>
      <c r="AV98" s="450">
        <f t="shared" si="191"/>
        <v>280</v>
      </c>
      <c r="AW98" s="452">
        <f t="shared" si="192"/>
        <v>0.44374009508716322</v>
      </c>
    </row>
    <row r="99" spans="1:49" ht="18" hidden="1" customHeight="1" x14ac:dyDescent="0.25">
      <c r="A99" s="956">
        <v>6</v>
      </c>
      <c r="B99" s="107" t="s">
        <v>40</v>
      </c>
      <c r="C99" s="78" t="s">
        <v>193</v>
      </c>
      <c r="D99" s="56">
        <f>143+474</f>
        <v>617</v>
      </c>
      <c r="E99" s="57">
        <f t="shared" si="166"/>
        <v>1.1721048825132598E-4</v>
      </c>
      <c r="F99" s="167">
        <f>365+313</f>
        <v>678</v>
      </c>
      <c r="G99" s="166">
        <f t="shared" si="167"/>
        <v>1.3262576120438274E-4</v>
      </c>
      <c r="H99" s="126">
        <v>249</v>
      </c>
      <c r="I99" s="57">
        <f t="shared" si="168"/>
        <v>4.5646187782550363E-5</v>
      </c>
      <c r="J99" s="167">
        <f>193+13</f>
        <v>206</v>
      </c>
      <c r="K99" s="166">
        <f t="shared" si="169"/>
        <v>3.6864241703442923E-5</v>
      </c>
      <c r="L99" s="306">
        <v>119</v>
      </c>
      <c r="M99" s="214">
        <f t="shared" si="170"/>
        <v>2.3190986150888742E-5</v>
      </c>
      <c r="N99" s="508">
        <v>475</v>
      </c>
      <c r="O99" s="509">
        <f t="shared" si="171"/>
        <v>8.7436868280131531E-5</v>
      </c>
      <c r="P99" s="655">
        <v>1996</v>
      </c>
      <c r="Q99" s="356">
        <f t="shared" si="172"/>
        <v>3.4367651568488998E-4</v>
      </c>
      <c r="R99" s="508">
        <f>632+1563</f>
        <v>2195</v>
      </c>
      <c r="S99" s="509">
        <f t="shared" si="173"/>
        <v>4.1497690403030483E-4</v>
      </c>
      <c r="T99" s="355">
        <f>343+881</f>
        <v>1224</v>
      </c>
      <c r="U99" s="356">
        <f t="shared" si="174"/>
        <v>2.5178885283023836E-4</v>
      </c>
      <c r="V99" s="655">
        <f>318+800</f>
        <v>1118</v>
      </c>
      <c r="W99" s="860">
        <f t="shared" si="175"/>
        <v>2.0750858107376966E-4</v>
      </c>
      <c r="X99" s="655">
        <v>1177</v>
      </c>
      <c r="Y99" s="860">
        <f t="shared" si="176"/>
        <v>2.1864879133846128E-4</v>
      </c>
      <c r="Z99" s="1084">
        <v>1700</v>
      </c>
      <c r="AA99" s="1050">
        <f t="shared" si="177"/>
        <v>3.4517766497461927E-4</v>
      </c>
      <c r="AB99" s="1144">
        <f t="shared" si="178"/>
        <v>200</v>
      </c>
      <c r="AC99" s="1131"/>
      <c r="AD99" s="421">
        <f>198+1555</f>
        <v>1753</v>
      </c>
      <c r="AE99" s="748">
        <f t="shared" si="179"/>
        <v>3.850647591939428E-4</v>
      </c>
      <c r="AF99" s="978">
        <f t="shared" si="180"/>
        <v>1245</v>
      </c>
      <c r="AG99" s="782">
        <f t="shared" si="181"/>
        <v>2.6158979358569217E-4</v>
      </c>
      <c r="AH99" s="1001">
        <f t="shared" si="182"/>
        <v>508</v>
      </c>
      <c r="AI99" s="451">
        <f t="shared" si="183"/>
        <v>0.40803212851405624</v>
      </c>
      <c r="AJ99" s="1084">
        <v>1500</v>
      </c>
      <c r="AK99" s="1050">
        <f t="shared" si="184"/>
        <v>2.8037383177570094E-4</v>
      </c>
      <c r="AL99" s="840">
        <v>1250</v>
      </c>
      <c r="AM99" s="586">
        <f t="shared" si="185"/>
        <v>2.2321428571428571E-4</v>
      </c>
      <c r="AN99" s="978">
        <v>1250</v>
      </c>
      <c r="AO99" s="782">
        <f t="shared" si="186"/>
        <v>2.2321428571428571E-4</v>
      </c>
      <c r="AP99" s="450">
        <f t="shared" si="187"/>
        <v>711.33333333333326</v>
      </c>
      <c r="AQ99" s="451">
        <f t="shared" si="188"/>
        <v>0.56906666666666661</v>
      </c>
      <c r="AR99" s="1011">
        <v>1278</v>
      </c>
      <c r="AS99" s="748">
        <f t="shared" si="189"/>
        <v>2.6815608698580601E-4</v>
      </c>
      <c r="AT99" s="894">
        <f>257+1210</f>
        <v>1467</v>
      </c>
      <c r="AU99" s="748">
        <f t="shared" si="190"/>
        <v>2.7318308573982429E-4</v>
      </c>
      <c r="AV99" s="450">
        <f t="shared" si="191"/>
        <v>475</v>
      </c>
      <c r="AW99" s="452">
        <f t="shared" si="192"/>
        <v>0.37167449139280123</v>
      </c>
    </row>
    <row r="100" spans="1:49" ht="18" hidden="1" customHeight="1" x14ac:dyDescent="0.25">
      <c r="A100" s="956">
        <v>7</v>
      </c>
      <c r="B100" s="107"/>
      <c r="C100" s="78" t="s">
        <v>226</v>
      </c>
      <c r="D100" s="56"/>
      <c r="E100" s="57"/>
      <c r="F100" s="167"/>
      <c r="G100" s="166"/>
      <c r="H100" s="126"/>
      <c r="I100" s="57"/>
      <c r="J100" s="167"/>
      <c r="K100" s="166"/>
      <c r="L100" s="306"/>
      <c r="M100" s="214"/>
      <c r="N100" s="508">
        <v>0</v>
      </c>
      <c r="O100" s="509">
        <f t="shared" si="171"/>
        <v>0</v>
      </c>
      <c r="P100" s="655">
        <v>183</v>
      </c>
      <c r="Q100" s="356">
        <f t="shared" si="172"/>
        <v>3.1509420025217867E-5</v>
      </c>
      <c r="R100" s="508">
        <v>160</v>
      </c>
      <c r="S100" s="509">
        <f t="shared" si="173"/>
        <v>3.0248885942983498E-5</v>
      </c>
      <c r="T100" s="355">
        <v>0</v>
      </c>
      <c r="U100" s="356">
        <f t="shared" si="174"/>
        <v>0</v>
      </c>
      <c r="V100" s="655">
        <v>110</v>
      </c>
      <c r="W100" s="860">
        <f t="shared" si="175"/>
        <v>2.0416765579709002E-5</v>
      </c>
      <c r="X100" s="655">
        <v>0</v>
      </c>
      <c r="Y100" s="860">
        <f t="shared" si="176"/>
        <v>0</v>
      </c>
      <c r="Z100" s="1084">
        <v>100</v>
      </c>
      <c r="AA100" s="1050">
        <f t="shared" si="177"/>
        <v>2.0304568527918781E-5</v>
      </c>
      <c r="AB100" s="1144">
        <f t="shared" si="178"/>
        <v>0</v>
      </c>
      <c r="AC100" s="1131"/>
      <c r="AD100" s="421">
        <v>0</v>
      </c>
      <c r="AE100" s="748">
        <f t="shared" si="179"/>
        <v>0</v>
      </c>
      <c r="AF100" s="978">
        <f t="shared" si="180"/>
        <v>83</v>
      </c>
      <c r="AG100" s="782">
        <f t="shared" si="181"/>
        <v>1.7439319572379481E-5</v>
      </c>
      <c r="AH100" s="1001">
        <f t="shared" si="182"/>
        <v>-83</v>
      </c>
      <c r="AI100" s="451">
        <f t="shared" si="183"/>
        <v>-1</v>
      </c>
      <c r="AJ100" s="1084">
        <v>100</v>
      </c>
      <c r="AK100" s="1050">
        <f t="shared" si="184"/>
        <v>1.869158878504673E-5</v>
      </c>
      <c r="AL100" s="840">
        <v>100</v>
      </c>
      <c r="AM100" s="586">
        <f t="shared" si="185"/>
        <v>1.7857142857142858E-5</v>
      </c>
      <c r="AN100" s="978">
        <v>100</v>
      </c>
      <c r="AO100" s="782">
        <f t="shared" si="186"/>
        <v>1.7857142857142858E-5</v>
      </c>
      <c r="AP100" s="450">
        <f t="shared" si="187"/>
        <v>-83.333333333333343</v>
      </c>
      <c r="AQ100" s="451">
        <f t="shared" si="188"/>
        <v>-0.83333333333333348</v>
      </c>
      <c r="AR100" s="1011">
        <v>0</v>
      </c>
      <c r="AS100" s="748">
        <f t="shared" si="189"/>
        <v>0</v>
      </c>
      <c r="AT100" s="894">
        <v>0</v>
      </c>
      <c r="AU100" s="748">
        <f t="shared" si="190"/>
        <v>0</v>
      </c>
      <c r="AV100" s="450">
        <f t="shared" si="191"/>
        <v>0</v>
      </c>
      <c r="AW100" s="452" t="e">
        <f t="shared" si="192"/>
        <v>#DIV/0!</v>
      </c>
    </row>
    <row r="101" spans="1:49" ht="18" hidden="1" customHeight="1" x14ac:dyDescent="0.25">
      <c r="A101" s="956">
        <v>8</v>
      </c>
      <c r="B101" s="107" t="s">
        <v>41</v>
      </c>
      <c r="C101" s="78" t="s">
        <v>195</v>
      </c>
      <c r="D101" s="56">
        <v>20184</v>
      </c>
      <c r="E101" s="57">
        <f>D101/D$11</f>
        <v>3.8343217096673638E-3</v>
      </c>
      <c r="F101" s="167">
        <v>12594</v>
      </c>
      <c r="G101" s="166">
        <f>F101/F$11</f>
        <v>2.4635528563539768E-3</v>
      </c>
      <c r="H101" s="126">
        <v>7948</v>
      </c>
      <c r="I101" s="57">
        <f>H101/H$11</f>
        <v>1.4570116485771497E-3</v>
      </c>
      <c r="J101" s="167">
        <v>9591</v>
      </c>
      <c r="K101" s="166">
        <f>J101/J$11</f>
        <v>1.7163346707656363E-3</v>
      </c>
      <c r="L101" s="306">
        <v>16481</v>
      </c>
      <c r="M101" s="214">
        <f>L101/L$11</f>
        <v>3.2118541407798098E-3</v>
      </c>
      <c r="N101" s="508">
        <v>20205</v>
      </c>
      <c r="O101" s="509">
        <f t="shared" si="171"/>
        <v>3.7192882602106476E-3</v>
      </c>
      <c r="P101" s="655">
        <v>22135</v>
      </c>
      <c r="Q101" s="356">
        <f t="shared" si="172"/>
        <v>3.8112623620666529E-3</v>
      </c>
      <c r="R101" s="508">
        <v>25269</v>
      </c>
      <c r="S101" s="509">
        <f t="shared" si="173"/>
        <v>4.7772443680828124E-3</v>
      </c>
      <c r="T101" s="355">
        <v>25477</v>
      </c>
      <c r="U101" s="356">
        <f t="shared" si="174"/>
        <v>5.2408697741470446E-3</v>
      </c>
      <c r="V101" s="655">
        <v>26752</v>
      </c>
      <c r="W101" s="860">
        <f t="shared" si="175"/>
        <v>4.9653573889852295E-3</v>
      </c>
      <c r="X101" s="655">
        <v>31530</v>
      </c>
      <c r="Y101" s="860">
        <f t="shared" si="176"/>
        <v>5.857261164742297E-3</v>
      </c>
      <c r="Z101" s="1084">
        <v>43035</v>
      </c>
      <c r="AA101" s="1050">
        <f t="shared" si="177"/>
        <v>8.7380710659898473E-3</v>
      </c>
      <c r="AB101" s="1144">
        <f t="shared" si="178"/>
        <v>630</v>
      </c>
      <c r="AC101" s="1131"/>
      <c r="AD101" s="421">
        <v>35371</v>
      </c>
      <c r="AE101" s="748">
        <f t="shared" si="179"/>
        <v>7.7696095821157742E-3</v>
      </c>
      <c r="AF101" s="978">
        <f t="shared" si="180"/>
        <v>35196.15</v>
      </c>
      <c r="AG101" s="782">
        <f t="shared" si="181"/>
        <v>7.3951434646675187E-3</v>
      </c>
      <c r="AH101" s="1001">
        <f t="shared" si="182"/>
        <v>174.84999999999854</v>
      </c>
      <c r="AI101" s="451">
        <f t="shared" si="183"/>
        <v>4.9678729065536584E-3</v>
      </c>
      <c r="AJ101" s="1084">
        <v>42405</v>
      </c>
      <c r="AK101" s="1050">
        <f t="shared" si="184"/>
        <v>7.9261682242990662E-3</v>
      </c>
      <c r="AL101" s="840">
        <v>43680</v>
      </c>
      <c r="AM101" s="586">
        <f t="shared" si="185"/>
        <v>7.7999999999999996E-3</v>
      </c>
      <c r="AN101" s="978">
        <v>43680</v>
      </c>
      <c r="AO101" s="782">
        <f t="shared" si="186"/>
        <v>7.7999999999999996E-3</v>
      </c>
      <c r="AP101" s="450">
        <f t="shared" si="187"/>
        <v>-1029</v>
      </c>
      <c r="AQ101" s="451">
        <f t="shared" si="188"/>
        <v>-2.3557692307692307E-2</v>
      </c>
      <c r="AR101" s="1011">
        <v>29477</v>
      </c>
      <c r="AS101" s="748">
        <f t="shared" si="189"/>
        <v>6.1850054585920215E-3</v>
      </c>
      <c r="AT101" s="894">
        <v>35402</v>
      </c>
      <c r="AU101" s="748">
        <f t="shared" si="190"/>
        <v>6.5925205189919971E-3</v>
      </c>
      <c r="AV101" s="450">
        <f t="shared" si="191"/>
        <v>5894</v>
      </c>
      <c r="AW101" s="452">
        <f t="shared" si="192"/>
        <v>0.1999525053431489</v>
      </c>
    </row>
    <row r="102" spans="1:49" ht="18" hidden="1" customHeight="1" x14ac:dyDescent="0.25">
      <c r="A102" s="956">
        <v>9</v>
      </c>
      <c r="B102" s="107" t="s">
        <v>42</v>
      </c>
      <c r="C102" s="78" t="s">
        <v>5</v>
      </c>
      <c r="D102" s="56">
        <v>20182</v>
      </c>
      <c r="E102" s="57">
        <f>D102/D$11</f>
        <v>3.8339417729145232E-3</v>
      </c>
      <c r="F102" s="167">
        <v>18060</v>
      </c>
      <c r="G102" s="166">
        <f>F102/F$11</f>
        <v>3.5327747011078946E-3</v>
      </c>
      <c r="H102" s="126">
        <v>19007</v>
      </c>
      <c r="I102" s="57">
        <f>H102/H$11</f>
        <v>3.4843256674013442E-3</v>
      </c>
      <c r="J102" s="167">
        <v>20338</v>
      </c>
      <c r="K102" s="166">
        <f>J102/J$11</f>
        <v>3.639538581381661E-3</v>
      </c>
      <c r="L102" s="306">
        <v>20499</v>
      </c>
      <c r="M102" s="214">
        <f>L102/L$11</f>
        <v>3.9948909672862885E-3</v>
      </c>
      <c r="N102" s="508">
        <v>21377</v>
      </c>
      <c r="O102" s="509">
        <f t="shared" si="171"/>
        <v>3.9350272278407825E-3</v>
      </c>
      <c r="P102" s="655">
        <v>22413</v>
      </c>
      <c r="Q102" s="356">
        <f t="shared" si="172"/>
        <v>3.8591291312852897E-3</v>
      </c>
      <c r="R102" s="508">
        <v>22496</v>
      </c>
      <c r="S102" s="509">
        <f t="shared" si="173"/>
        <v>4.2529933635834793E-3</v>
      </c>
      <c r="T102" s="355">
        <v>23215</v>
      </c>
      <c r="U102" s="356">
        <f t="shared" si="174"/>
        <v>4.7755541000441045E-3</v>
      </c>
      <c r="V102" s="655">
        <v>21893</v>
      </c>
      <c r="W102" s="860">
        <f t="shared" si="175"/>
        <v>4.0634931712415379E-3</v>
      </c>
      <c r="X102" s="655">
        <v>21687</v>
      </c>
      <c r="Y102" s="860">
        <f t="shared" si="176"/>
        <v>4.0287479505158961E-3</v>
      </c>
      <c r="Z102" s="1084">
        <v>22565</v>
      </c>
      <c r="AA102" s="1050">
        <f t="shared" si="177"/>
        <v>4.5817258883248729E-3</v>
      </c>
      <c r="AB102" s="1144">
        <f t="shared" si="178"/>
        <v>-230</v>
      </c>
      <c r="AC102" s="1131"/>
      <c r="AD102" s="421">
        <v>18143</v>
      </c>
      <c r="AE102" s="748">
        <f t="shared" si="179"/>
        <v>3.9852994444128376E-3</v>
      </c>
      <c r="AF102" s="978">
        <f t="shared" si="180"/>
        <v>18919.849999999999</v>
      </c>
      <c r="AG102" s="782">
        <f t="shared" si="181"/>
        <v>3.9752928965239021E-3</v>
      </c>
      <c r="AH102" s="1001">
        <f t="shared" si="182"/>
        <v>-776.84999999999854</v>
      </c>
      <c r="AI102" s="451">
        <f t="shared" si="183"/>
        <v>-4.106005068750538E-2</v>
      </c>
      <c r="AJ102" s="1084">
        <v>22795</v>
      </c>
      <c r="AK102" s="1050">
        <f t="shared" si="184"/>
        <v>4.2607476635514018E-3</v>
      </c>
      <c r="AL102" s="840">
        <v>23350</v>
      </c>
      <c r="AM102" s="586">
        <f t="shared" si="185"/>
        <v>4.169642857142857E-3</v>
      </c>
      <c r="AN102" s="978">
        <v>23350</v>
      </c>
      <c r="AO102" s="782">
        <f t="shared" si="186"/>
        <v>4.169642857142857E-3</v>
      </c>
      <c r="AP102" s="450">
        <f t="shared" si="187"/>
        <v>-1315.3333333333321</v>
      </c>
      <c r="AQ102" s="451">
        <f t="shared" si="188"/>
        <v>-5.6331192005710157E-2</v>
      </c>
      <c r="AR102" s="1011">
        <v>17226</v>
      </c>
      <c r="AS102" s="748">
        <f t="shared" si="189"/>
        <v>3.6144419048650188E-3</v>
      </c>
      <c r="AT102" s="894">
        <v>20640</v>
      </c>
      <c r="AU102" s="748">
        <f t="shared" si="190"/>
        <v>3.8435575253374051E-3</v>
      </c>
      <c r="AV102" s="450">
        <f t="shared" si="191"/>
        <v>917</v>
      </c>
      <c r="AW102" s="452">
        <f t="shared" si="192"/>
        <v>5.3233484267967028E-2</v>
      </c>
    </row>
    <row r="103" spans="1:49" ht="18" hidden="1" customHeight="1" x14ac:dyDescent="0.25">
      <c r="A103" s="956">
        <v>10</v>
      </c>
      <c r="B103" s="107" t="s">
        <v>43</v>
      </c>
      <c r="C103" s="79" t="s">
        <v>196</v>
      </c>
      <c r="D103" s="58">
        <v>13159</v>
      </c>
      <c r="E103" s="59">
        <f>D103/D$11</f>
        <v>2.4997938653147462E-3</v>
      </c>
      <c r="F103" s="168">
        <v>14099</v>
      </c>
      <c r="G103" s="169">
        <f>F103/F$11</f>
        <v>2.7579507481129682E-3</v>
      </c>
      <c r="H103" s="127">
        <v>14663</v>
      </c>
      <c r="I103" s="59">
        <f>H103/H$11</f>
        <v>2.6879921745202248E-3</v>
      </c>
      <c r="J103" s="168">
        <v>17883</v>
      </c>
      <c r="K103" s="169">
        <f>J103/J$11</f>
        <v>3.2002098756440281E-3</v>
      </c>
      <c r="L103" s="308">
        <v>17893</v>
      </c>
      <c r="M103" s="215">
        <f>L103/L$11</f>
        <v>3.4870278588054809E-3</v>
      </c>
      <c r="N103" s="511">
        <v>20970</v>
      </c>
      <c r="O103" s="512">
        <f t="shared" si="171"/>
        <v>3.8601076375460171E-3</v>
      </c>
      <c r="P103" s="657">
        <v>22641</v>
      </c>
      <c r="Q103" s="359">
        <f t="shared" si="172"/>
        <v>3.8983867693494958E-3</v>
      </c>
      <c r="R103" s="511">
        <v>24194</v>
      </c>
      <c r="S103" s="512">
        <f t="shared" si="173"/>
        <v>4.5740096656533922E-3</v>
      </c>
      <c r="T103" s="358">
        <v>25124</v>
      </c>
      <c r="U103" s="359">
        <f t="shared" si="174"/>
        <v>5.1682541981265592E-3</v>
      </c>
      <c r="V103" s="657">
        <v>27361</v>
      </c>
      <c r="W103" s="861">
        <f t="shared" si="175"/>
        <v>5.0783920275128906E-3</v>
      </c>
      <c r="X103" s="657">
        <v>27934</v>
      </c>
      <c r="Y103" s="861">
        <f t="shared" si="176"/>
        <v>5.1892398787158683E-3</v>
      </c>
      <c r="Z103" s="1085">
        <v>31885</v>
      </c>
      <c r="AA103" s="1053">
        <f t="shared" si="177"/>
        <v>6.4741116751269034E-3</v>
      </c>
      <c r="AB103" s="1144">
        <f t="shared" si="178"/>
        <v>730</v>
      </c>
      <c r="AC103" s="1132"/>
      <c r="AD103" s="425">
        <v>25527</v>
      </c>
      <c r="AE103" s="749">
        <f t="shared" si="179"/>
        <v>5.60727216653952E-3</v>
      </c>
      <c r="AF103" s="978">
        <f t="shared" si="180"/>
        <v>25858.649999999998</v>
      </c>
      <c r="AG103" s="785">
        <f t="shared" si="181"/>
        <v>5.4332200127748262E-3</v>
      </c>
      <c r="AH103" s="1001">
        <f t="shared" si="182"/>
        <v>-331.64999999999782</v>
      </c>
      <c r="AI103" s="451">
        <f t="shared" si="183"/>
        <v>-1.2825495530509049E-2</v>
      </c>
      <c r="AJ103" s="1085">
        <v>31155</v>
      </c>
      <c r="AK103" s="1053">
        <f t="shared" si="184"/>
        <v>5.8233644859813083E-3</v>
      </c>
      <c r="AL103" s="841">
        <v>31150</v>
      </c>
      <c r="AM103" s="589">
        <f t="shared" si="185"/>
        <v>5.5624999999999997E-3</v>
      </c>
      <c r="AN103" s="979">
        <v>31150</v>
      </c>
      <c r="AO103" s="785">
        <f t="shared" si="186"/>
        <v>5.5624999999999997E-3</v>
      </c>
      <c r="AP103" s="450">
        <f t="shared" si="187"/>
        <v>-431.33333333333576</v>
      </c>
      <c r="AQ103" s="451">
        <f t="shared" si="188"/>
        <v>-1.3846976993044487E-2</v>
      </c>
      <c r="AR103" s="1012">
        <v>20546</v>
      </c>
      <c r="AS103" s="749">
        <f t="shared" si="189"/>
        <v>4.3110602216043584E-3</v>
      </c>
      <c r="AT103" s="895">
        <v>24764</v>
      </c>
      <c r="AU103" s="749">
        <f t="shared" si="190"/>
        <v>4.6115241549154803E-3</v>
      </c>
      <c r="AV103" s="450">
        <f t="shared" si="191"/>
        <v>4981</v>
      </c>
      <c r="AW103" s="482">
        <f t="shared" si="192"/>
        <v>0.24243161685972939</v>
      </c>
    </row>
    <row r="104" spans="1:49" ht="18" hidden="1" customHeight="1" thickBot="1" x14ac:dyDescent="0.3">
      <c r="A104" s="100"/>
      <c r="B104" s="101"/>
      <c r="C104" s="85" t="s">
        <v>197</v>
      </c>
      <c r="D104" s="39">
        <f>SUM(D94:D103)</f>
        <v>352214</v>
      </c>
      <c r="E104" s="41">
        <f>D104/D$11</f>
        <v>6.6909521732500046E-2</v>
      </c>
      <c r="F104" s="182">
        <f>SUM(F94:F103)</f>
        <v>331260</v>
      </c>
      <c r="G104" s="183">
        <f>F104/F$11</f>
        <v>6.4798834301716568E-2</v>
      </c>
      <c r="H104" s="135">
        <f>SUM(H94:H103)</f>
        <v>345044</v>
      </c>
      <c r="I104" s="41">
        <f>H104/H$11</f>
        <v>6.3252784004989182E-2</v>
      </c>
      <c r="J104" s="182">
        <f>SUM(J94:J103)</f>
        <v>370181</v>
      </c>
      <c r="K104" s="183">
        <f>J104/J$11</f>
        <v>6.6244863388457309E-2</v>
      </c>
      <c r="L104" s="319">
        <f>SUM(L94:L103)</f>
        <v>369490</v>
      </c>
      <c r="M104" s="223">
        <f>L104/L$11</f>
        <v>7.2007037587326725E-2</v>
      </c>
      <c r="N104" s="533">
        <f>SUM(N94:N103)</f>
        <v>376135</v>
      </c>
      <c r="O104" s="534">
        <f t="shared" si="171"/>
        <v>6.9238034632731094E-2</v>
      </c>
      <c r="P104" s="675">
        <f>SUM(P94:P103)</f>
        <v>396702</v>
      </c>
      <c r="Q104" s="381">
        <f t="shared" si="172"/>
        <v>6.8305190944502617E-2</v>
      </c>
      <c r="R104" s="533">
        <f>SUM(R94:R103)</f>
        <v>401869</v>
      </c>
      <c r="S104" s="534">
        <f t="shared" si="173"/>
        <v>7.5975559656380212E-2</v>
      </c>
      <c r="T104" s="380">
        <f>SUM(T94:T103)</f>
        <v>400769</v>
      </c>
      <c r="U104" s="381">
        <f t="shared" si="174"/>
        <v>8.2442129705818462E-2</v>
      </c>
      <c r="V104" s="675">
        <f>SUM(V94:V103)</f>
        <v>385532</v>
      </c>
      <c r="W104" s="872">
        <f t="shared" si="175"/>
        <v>7.1557422431603374E-2</v>
      </c>
      <c r="X104" s="675">
        <f>SUM(X94:X103)</f>
        <v>383167</v>
      </c>
      <c r="Y104" s="872">
        <f t="shared" si="176"/>
        <v>7.1180120162093616E-2</v>
      </c>
      <c r="Z104" s="1081">
        <f>SUM(Z94:Z103)</f>
        <v>405100</v>
      </c>
      <c r="AA104" s="1082">
        <f t="shared" si="177"/>
        <v>8.2253807106598978E-2</v>
      </c>
      <c r="AB104" s="1155">
        <f>SUM(AB94:AB103)</f>
        <v>50</v>
      </c>
      <c r="AC104" s="1137"/>
      <c r="AD104" s="558">
        <f>SUM(AD94:AD103)</f>
        <v>336144</v>
      </c>
      <c r="AE104" s="760">
        <f t="shared" si="179"/>
        <v>7.383754045321661E-2</v>
      </c>
      <c r="AF104" s="1176">
        <f>SUM(AF94:AF103)</f>
        <v>336191.5</v>
      </c>
      <c r="AG104" s="808">
        <f t="shared" si="181"/>
        <v>7.0637963927923084E-2</v>
      </c>
      <c r="AH104" s="474">
        <f>SUM(AH94:AH103)</f>
        <v>-47.499999999974534</v>
      </c>
      <c r="AI104" s="468">
        <f>AH104/AF104</f>
        <v>-1.4128852157170701E-4</v>
      </c>
      <c r="AJ104" s="1081">
        <f>SUM(AJ94:AJ103)</f>
        <v>405050</v>
      </c>
      <c r="AK104" s="1082">
        <f t="shared" si="184"/>
        <v>7.5710280373831776E-2</v>
      </c>
      <c r="AL104" s="613">
        <f>SUM(AL94:AL103)</f>
        <v>414105</v>
      </c>
      <c r="AM104" s="614">
        <f t="shared" si="185"/>
        <v>7.3947321428571425E-2</v>
      </c>
      <c r="AN104" s="807">
        <f>SUM(AN94:AN103)</f>
        <v>414105</v>
      </c>
      <c r="AO104" s="808">
        <f t="shared" si="186"/>
        <v>7.3947321428571425E-2</v>
      </c>
      <c r="AP104" s="474">
        <f>SUM(AP94:AP103)</f>
        <v>-8943.50000000002</v>
      </c>
      <c r="AQ104" s="468">
        <f>AP104/AN104</f>
        <v>-2.1597179459315923E-2</v>
      </c>
      <c r="AR104" s="739">
        <f>SUM(AR94:AR103)</f>
        <v>310698</v>
      </c>
      <c r="AS104" s="760">
        <f t="shared" si="189"/>
        <v>6.5192143907915445E-2</v>
      </c>
      <c r="AT104" s="903">
        <f>SUM(AT94:AT103)</f>
        <v>374725</v>
      </c>
      <c r="AU104" s="255">
        <f t="shared" si="190"/>
        <v>6.9780866941960229E-2</v>
      </c>
      <c r="AV104" s="474">
        <f>SUM(AV94:AV103)</f>
        <v>25446</v>
      </c>
      <c r="AW104" s="469">
        <f t="shared" si="192"/>
        <v>8.1899465075410849E-2</v>
      </c>
    </row>
    <row r="105" spans="1:49" ht="18" hidden="1" customHeight="1" thickTop="1" x14ac:dyDescent="0.25">
      <c r="A105" s="100"/>
      <c r="B105" s="101"/>
      <c r="C105" s="76" t="s">
        <v>207</v>
      </c>
      <c r="D105" s="29"/>
      <c r="E105" s="30"/>
      <c r="F105" s="161"/>
      <c r="G105" s="162"/>
      <c r="H105" s="123"/>
      <c r="I105" s="30"/>
      <c r="J105" s="161"/>
      <c r="K105" s="162"/>
      <c r="L105" s="305"/>
      <c r="M105" s="212"/>
      <c r="N105" s="506"/>
      <c r="O105" s="507"/>
      <c r="P105" s="654"/>
      <c r="Q105" s="354"/>
      <c r="R105" s="506"/>
      <c r="S105" s="507"/>
      <c r="T105" s="353"/>
      <c r="U105" s="354"/>
      <c r="V105" s="676"/>
      <c r="W105" s="677"/>
      <c r="X105" s="889"/>
      <c r="Y105" s="677"/>
      <c r="Z105" s="1086"/>
      <c r="AA105" s="1087"/>
      <c r="AB105" s="1149"/>
      <c r="AC105" s="1130"/>
      <c r="AD105" s="636"/>
      <c r="AE105" s="644"/>
      <c r="AF105" s="980"/>
      <c r="AG105" s="981"/>
      <c r="AH105" s="645"/>
      <c r="AI105" s="646"/>
      <c r="AJ105" s="1086"/>
      <c r="AK105" s="1087"/>
      <c r="AL105" s="718"/>
      <c r="AM105" s="717"/>
      <c r="AN105" s="980"/>
      <c r="AO105" s="981"/>
      <c r="AP105" s="645"/>
      <c r="AQ105" s="646"/>
      <c r="AR105" s="636"/>
      <c r="AS105" s="644"/>
      <c r="AT105" s="904"/>
      <c r="AU105" s="644"/>
      <c r="AV105" s="645"/>
      <c r="AW105" s="646"/>
    </row>
    <row r="106" spans="1:49" s="4" customFormat="1" ht="18" hidden="1" customHeight="1" x14ac:dyDescent="0.25">
      <c r="A106" s="102"/>
      <c r="B106" s="103"/>
      <c r="C106" s="108" t="s">
        <v>186</v>
      </c>
      <c r="D106" s="109">
        <v>9.8000000000000007</v>
      </c>
      <c r="E106" s="111"/>
      <c r="F106" s="180">
        <v>9.8000000000000007</v>
      </c>
      <c r="G106" s="185"/>
      <c r="H106" s="134">
        <v>10</v>
      </c>
      <c r="I106" s="111"/>
      <c r="J106" s="180">
        <v>9.8000000000000007</v>
      </c>
      <c r="K106" s="185"/>
      <c r="L106" s="318">
        <v>9.8000000000000007</v>
      </c>
      <c r="M106" s="224"/>
      <c r="N106" s="531">
        <v>9.33</v>
      </c>
      <c r="O106" s="536"/>
      <c r="P106" s="674">
        <v>9.33</v>
      </c>
      <c r="Q106" s="383"/>
      <c r="R106" s="531">
        <v>9.33</v>
      </c>
      <c r="S106" s="536"/>
      <c r="T106" s="378">
        <v>9</v>
      </c>
      <c r="U106" s="383"/>
      <c r="V106" s="674">
        <v>8.5</v>
      </c>
      <c r="W106" s="873"/>
      <c r="X106" s="674">
        <v>8.5</v>
      </c>
      <c r="Y106" s="873"/>
      <c r="Z106" s="1077">
        <v>8.77</v>
      </c>
      <c r="AA106" s="1083"/>
      <c r="AB106" s="1156"/>
      <c r="AC106" s="1138"/>
      <c r="AD106" s="433">
        <v>9</v>
      </c>
      <c r="AE106" s="761"/>
      <c r="AF106" s="1177">
        <v>9</v>
      </c>
      <c r="AG106" s="809"/>
      <c r="AH106" s="475"/>
      <c r="AI106" s="451"/>
      <c r="AJ106" s="1077">
        <v>9</v>
      </c>
      <c r="AK106" s="1083"/>
      <c r="AL106" s="611">
        <v>9</v>
      </c>
      <c r="AM106" s="615"/>
      <c r="AN106" s="803">
        <v>9</v>
      </c>
      <c r="AO106" s="809"/>
      <c r="AP106" s="475"/>
      <c r="AQ106" s="451"/>
      <c r="AR106" s="734">
        <v>8.5</v>
      </c>
      <c r="AS106" s="761"/>
      <c r="AT106" s="901">
        <v>8.5</v>
      </c>
      <c r="AU106" s="256"/>
      <c r="AV106" s="475"/>
      <c r="AW106" s="452"/>
    </row>
    <row r="107" spans="1:49" ht="18" hidden="1" customHeight="1" x14ac:dyDescent="0.25">
      <c r="A107" s="104">
        <v>1</v>
      </c>
      <c r="B107" s="105" t="s">
        <v>65</v>
      </c>
      <c r="C107" s="77" t="s">
        <v>187</v>
      </c>
      <c r="D107" s="54">
        <f>417469+21444</f>
        <v>438913</v>
      </c>
      <c r="E107" s="55">
        <f t="shared" ref="E107:E130" si="193">D107/D$11</f>
        <v>8.3379589999763748E-2</v>
      </c>
      <c r="F107" s="163">
        <f>447694+1400</f>
        <v>449094</v>
      </c>
      <c r="G107" s="164">
        <f t="shared" ref="G107:G130" si="194">F107/F$11</f>
        <v>8.7848722127317216E-2</v>
      </c>
      <c r="H107" s="124">
        <f>462374+4900</f>
        <v>467274</v>
      </c>
      <c r="I107" s="55">
        <f t="shared" ref="I107:I130" si="195">H107/H$11</f>
        <v>8.5659745983547947E-2</v>
      </c>
      <c r="J107" s="163">
        <f>475444+12016</f>
        <v>487460</v>
      </c>
      <c r="K107" s="164">
        <f t="shared" ref="K107:K130" si="196">J107/J$11</f>
        <v>8.7232248838642168E-2</v>
      </c>
      <c r="L107" s="313">
        <f>484208+3800</f>
        <v>488008</v>
      </c>
      <c r="M107" s="213">
        <f t="shared" ref="M107:M130" si="197">L107/L$11</f>
        <v>9.5104090500192542E-2</v>
      </c>
      <c r="N107" s="520">
        <f>463636+2875</f>
        <v>466511</v>
      </c>
      <c r="O107" s="521">
        <f t="shared" ref="O107:O146" si="198">N107/N$11</f>
        <v>8.5874233385752508E-2</v>
      </c>
      <c r="P107" s="663">
        <f>480626+46+2985</f>
        <v>483657</v>
      </c>
      <c r="Q107" s="368">
        <f t="shared" ref="Q107:Q146" si="199">P107/P$11</f>
        <v>8.3277330935173755E-2</v>
      </c>
      <c r="R107" s="520">
        <f>481724+8426</f>
        <v>490150</v>
      </c>
      <c r="S107" s="521">
        <f t="shared" ref="S107:S146" si="200">R107/R$11</f>
        <v>9.2665571530958502E-2</v>
      </c>
      <c r="T107" s="367">
        <f>495290+10881</f>
        <v>506171</v>
      </c>
      <c r="U107" s="368">
        <f t="shared" ref="U107:U146" si="201">T107/T$11</f>
        <v>0.10412435900811649</v>
      </c>
      <c r="V107" s="663">
        <f>455959+6300</f>
        <v>462259</v>
      </c>
      <c r="W107" s="871">
        <f t="shared" ref="W107:W146" si="202">V107/V$11</f>
        <v>8.5798487637370024E-2</v>
      </c>
      <c r="X107" s="663">
        <v>453083</v>
      </c>
      <c r="Y107" s="871">
        <f t="shared" ref="Y107:Y146" si="203">X107/X$11</f>
        <v>8.4168267056927829E-2</v>
      </c>
      <c r="Z107" s="1084">
        <v>475835</v>
      </c>
      <c r="AA107" s="1080">
        <f t="shared" ref="AA107:AA146" si="204">Z107/Z$11</f>
        <v>9.661624365482234E-2</v>
      </c>
      <c r="AB107" s="1144">
        <f t="shared" ref="AB107:AB145" si="205">Z107-AJ107</f>
        <v>-7480</v>
      </c>
      <c r="AC107" s="1136"/>
      <c r="AD107" s="557">
        <v>402761</v>
      </c>
      <c r="AE107" s="753">
        <f t="shared" ref="AE107:AE129" si="206">AD107/AD$11</f>
        <v>8.8470660283919908E-2</v>
      </c>
      <c r="AF107" s="978">
        <f t="shared" ref="AF107:AF145" si="207">AJ107*$AX$3</f>
        <v>401151.44999999995</v>
      </c>
      <c r="AG107" s="806">
        <f t="shared" ref="AG107:AG146" si="208">AF107/AF$11</f>
        <v>8.4286847391245867E-2</v>
      </c>
      <c r="AH107" s="1001">
        <f t="shared" ref="AH107:AH145" si="209">AD107-AF107</f>
        <v>1609.5500000000466</v>
      </c>
      <c r="AI107" s="451">
        <f t="shared" ref="AI107:AI145" si="210">AH107/AF107</f>
        <v>4.0123250208868666E-3</v>
      </c>
      <c r="AJ107" s="1084">
        <v>483315</v>
      </c>
      <c r="AK107" s="1080">
        <f t="shared" ref="AK107:AK146" si="211">AJ107/AJ$11</f>
        <v>9.03392523364486E-2</v>
      </c>
      <c r="AL107" s="840">
        <v>483315</v>
      </c>
      <c r="AM107" s="598">
        <f t="shared" ref="AM107:AM146" si="212">AL107/AL$11</f>
        <v>8.6306250000000001E-2</v>
      </c>
      <c r="AN107" s="978">
        <v>483315</v>
      </c>
      <c r="AO107" s="806">
        <f t="shared" ref="AO107:AO146" si="213">AN107/AN$11</f>
        <v>8.6306250000000001E-2</v>
      </c>
      <c r="AP107" s="450">
        <f t="shared" ref="AP107:AP145" si="214">$AD107-(AL107/12*$AX$1)</f>
        <v>-1.5</v>
      </c>
      <c r="AQ107" s="451">
        <f t="shared" ref="AQ107:AQ145" si="215">AP107/AN107</f>
        <v>-3.1035659973309333E-6</v>
      </c>
      <c r="AR107" s="1125">
        <v>379793</v>
      </c>
      <c r="AS107" s="753">
        <f t="shared" ref="AS107:AS146" si="216">AR107/AR$11</f>
        <v>7.9689988063067457E-2</v>
      </c>
      <c r="AT107" s="902">
        <v>456593</v>
      </c>
      <c r="AU107" s="753">
        <f t="shared" ref="AU107:AU146" si="217">AT107/AT$11</f>
        <v>8.502623358364253E-2</v>
      </c>
      <c r="AV107" s="450">
        <f t="shared" ref="AV107:AV145" si="218">AD107-AR107</f>
        <v>22968</v>
      </c>
      <c r="AW107" s="452">
        <f t="shared" ref="AW107:AW146" si="219">AV107/AR107</f>
        <v>6.0475048249967744E-2</v>
      </c>
    </row>
    <row r="108" spans="1:49" ht="18" hidden="1" customHeight="1" x14ac:dyDescent="0.25">
      <c r="A108" s="106">
        <v>2</v>
      </c>
      <c r="B108" s="107" t="s">
        <v>66</v>
      </c>
      <c r="C108" s="78" t="s">
        <v>208</v>
      </c>
      <c r="D108" s="56">
        <v>66679</v>
      </c>
      <c r="E108" s="57">
        <f t="shared" si="193"/>
        <v>1.2666901371329278E-2</v>
      </c>
      <c r="F108" s="167">
        <v>61229</v>
      </c>
      <c r="G108" s="166">
        <f t="shared" si="194"/>
        <v>1.197720167077161E-2</v>
      </c>
      <c r="H108" s="126">
        <v>63588</v>
      </c>
      <c r="I108" s="57">
        <f t="shared" si="195"/>
        <v>1.165682646071009E-2</v>
      </c>
      <c r="J108" s="167">
        <v>66532</v>
      </c>
      <c r="K108" s="166">
        <f t="shared" si="196"/>
        <v>1.1906076354434294E-2</v>
      </c>
      <c r="L108" s="306">
        <v>62238</v>
      </c>
      <c r="M108" s="214">
        <f t="shared" si="197"/>
        <v>1.2129080639151373E-2</v>
      </c>
      <c r="N108" s="508">
        <v>62010</v>
      </c>
      <c r="O108" s="509">
        <f t="shared" si="198"/>
        <v>1.1414653056949381E-2</v>
      </c>
      <c r="P108" s="655">
        <v>60533</v>
      </c>
      <c r="Q108" s="356">
        <f t="shared" si="199"/>
        <v>1.0422730723423569E-2</v>
      </c>
      <c r="R108" s="508">
        <v>57078</v>
      </c>
      <c r="S108" s="509">
        <f t="shared" si="200"/>
        <v>1.0790911949085075E-2</v>
      </c>
      <c r="T108" s="355">
        <v>52851</v>
      </c>
      <c r="U108" s="356">
        <f t="shared" si="201"/>
        <v>1.0871971128211541E-2</v>
      </c>
      <c r="V108" s="655">
        <v>58616</v>
      </c>
      <c r="W108" s="860">
        <f t="shared" si="202"/>
        <v>1.087953755654748E-2</v>
      </c>
      <c r="X108" s="655">
        <v>51917</v>
      </c>
      <c r="Y108" s="860">
        <f t="shared" si="203"/>
        <v>9.6445108750372929E-3</v>
      </c>
      <c r="Z108" s="1088">
        <v>47000</v>
      </c>
      <c r="AA108" s="1050">
        <f t="shared" si="204"/>
        <v>9.5431472081218272E-3</v>
      </c>
      <c r="AB108" s="1144">
        <f t="shared" si="205"/>
        <v>-10400</v>
      </c>
      <c r="AC108" s="1136"/>
      <c r="AD108" s="557">
        <v>44726</v>
      </c>
      <c r="AE108" s="748">
        <f t="shared" si="206"/>
        <v>9.8245330403355889E-3</v>
      </c>
      <c r="AF108" s="978">
        <f t="shared" si="207"/>
        <v>47642</v>
      </c>
      <c r="AG108" s="782">
        <f t="shared" si="208"/>
        <v>1.0010169434545821E-2</v>
      </c>
      <c r="AH108" s="1001">
        <f t="shared" si="209"/>
        <v>-2916</v>
      </c>
      <c r="AI108" s="451">
        <f t="shared" si="210"/>
        <v>-6.1206498467738547E-2</v>
      </c>
      <c r="AJ108" s="1088">
        <v>57400</v>
      </c>
      <c r="AK108" s="1050">
        <f t="shared" si="211"/>
        <v>1.0728971962616822E-2</v>
      </c>
      <c r="AL108" s="842">
        <v>57400</v>
      </c>
      <c r="AM108" s="586">
        <f t="shared" si="212"/>
        <v>1.025E-2</v>
      </c>
      <c r="AN108" s="982">
        <v>57400</v>
      </c>
      <c r="AO108" s="782">
        <f t="shared" si="213"/>
        <v>1.025E-2</v>
      </c>
      <c r="AP108" s="450">
        <f t="shared" si="214"/>
        <v>-3107.3333333333285</v>
      </c>
      <c r="AQ108" s="451">
        <f t="shared" si="215"/>
        <v>-5.4134727061556247E-2</v>
      </c>
      <c r="AR108" s="1125">
        <v>45251</v>
      </c>
      <c r="AS108" s="748">
        <f t="shared" si="216"/>
        <v>9.4947817622806786E-3</v>
      </c>
      <c r="AT108" s="902">
        <v>48424</v>
      </c>
      <c r="AU108" s="748">
        <f t="shared" si="217"/>
        <v>9.0174626747547733E-3</v>
      </c>
      <c r="AV108" s="450">
        <f t="shared" si="218"/>
        <v>-525</v>
      </c>
      <c r="AW108" s="452">
        <f t="shared" si="219"/>
        <v>-1.1601953547987889E-2</v>
      </c>
    </row>
    <row r="109" spans="1:49" ht="18" hidden="1" customHeight="1" x14ac:dyDescent="0.25">
      <c r="A109" s="104">
        <v>3</v>
      </c>
      <c r="B109" s="107" t="s">
        <v>67</v>
      </c>
      <c r="C109" s="78" t="s">
        <v>209</v>
      </c>
      <c r="D109" s="56">
        <v>4676</v>
      </c>
      <c r="E109" s="57">
        <f t="shared" si="193"/>
        <v>8.8829212814132941E-4</v>
      </c>
      <c r="F109" s="167">
        <v>5042</v>
      </c>
      <c r="G109" s="166">
        <f t="shared" si="194"/>
        <v>9.8628184069689956E-4</v>
      </c>
      <c r="H109" s="126">
        <v>3940</v>
      </c>
      <c r="I109" s="57">
        <f t="shared" si="195"/>
        <v>7.2227301149898964E-4</v>
      </c>
      <c r="J109" s="167">
        <v>4673</v>
      </c>
      <c r="K109" s="166">
        <f t="shared" si="196"/>
        <v>8.3624563825334362E-4</v>
      </c>
      <c r="L109" s="306">
        <v>3567</v>
      </c>
      <c r="M109" s="214">
        <f t="shared" si="197"/>
        <v>6.9514493781697596E-4</v>
      </c>
      <c r="N109" s="508">
        <v>2978</v>
      </c>
      <c r="O109" s="509">
        <f t="shared" si="198"/>
        <v>5.481831447120667E-4</v>
      </c>
      <c r="P109" s="655">
        <v>3586</v>
      </c>
      <c r="Q109" s="356">
        <f t="shared" si="199"/>
        <v>6.1744688639579933E-4</v>
      </c>
      <c r="R109" s="508">
        <v>2854</v>
      </c>
      <c r="S109" s="509">
        <f t="shared" si="200"/>
        <v>5.3956450300796815E-4</v>
      </c>
      <c r="T109" s="355">
        <v>2532</v>
      </c>
      <c r="U109" s="356">
        <f t="shared" si="201"/>
        <v>5.2085733281549305E-4</v>
      </c>
      <c r="V109" s="655">
        <v>2644</v>
      </c>
      <c r="W109" s="860">
        <f t="shared" si="202"/>
        <v>4.9074480175227816E-4</v>
      </c>
      <c r="X109" s="655">
        <v>2210</v>
      </c>
      <c r="Y109" s="860">
        <f t="shared" si="203"/>
        <v>4.1054700837553051E-4</v>
      </c>
      <c r="Z109" s="1088">
        <v>3500</v>
      </c>
      <c r="AA109" s="1050">
        <f t="shared" si="204"/>
        <v>7.1065989847715735E-4</v>
      </c>
      <c r="AB109" s="1144">
        <f t="shared" si="205"/>
        <v>500</v>
      </c>
      <c r="AC109" s="1136"/>
      <c r="AD109" s="557">
        <v>2474</v>
      </c>
      <c r="AE109" s="748">
        <f t="shared" si="206"/>
        <v>5.4343993967245557E-4</v>
      </c>
      <c r="AF109" s="978">
        <f t="shared" si="207"/>
        <v>2490</v>
      </c>
      <c r="AG109" s="782">
        <f t="shared" si="208"/>
        <v>5.2317958717138435E-4</v>
      </c>
      <c r="AH109" s="1001">
        <f t="shared" si="209"/>
        <v>-16</v>
      </c>
      <c r="AI109" s="451">
        <f t="shared" si="210"/>
        <v>-6.4257028112449802E-3</v>
      </c>
      <c r="AJ109" s="1088">
        <v>3000</v>
      </c>
      <c r="AK109" s="1050">
        <f t="shared" si="211"/>
        <v>5.6074766355140187E-4</v>
      </c>
      <c r="AL109" s="842">
        <v>4000</v>
      </c>
      <c r="AM109" s="586">
        <f t="shared" si="212"/>
        <v>7.1428571428571429E-4</v>
      </c>
      <c r="AN109" s="982">
        <v>4000</v>
      </c>
      <c r="AO109" s="782">
        <f t="shared" si="213"/>
        <v>7.1428571428571429E-4</v>
      </c>
      <c r="AP109" s="450">
        <f t="shared" si="214"/>
        <v>-859.33333333333303</v>
      </c>
      <c r="AQ109" s="451">
        <f t="shared" si="215"/>
        <v>-0.21483333333333327</v>
      </c>
      <c r="AR109" s="1125">
        <v>2297</v>
      </c>
      <c r="AS109" s="748">
        <f t="shared" si="216"/>
        <v>4.8196755227417553E-4</v>
      </c>
      <c r="AT109" s="902">
        <v>2764</v>
      </c>
      <c r="AU109" s="748">
        <f t="shared" si="217"/>
        <v>5.1470896317987343E-4</v>
      </c>
      <c r="AV109" s="450">
        <f t="shared" si="218"/>
        <v>177</v>
      </c>
      <c r="AW109" s="452">
        <f t="shared" si="219"/>
        <v>7.705703090988246E-2</v>
      </c>
    </row>
    <row r="110" spans="1:49" ht="18" hidden="1" customHeight="1" x14ac:dyDescent="0.25">
      <c r="A110" s="104">
        <v>4</v>
      </c>
      <c r="B110" s="107" t="s">
        <v>68</v>
      </c>
      <c r="C110" s="78" t="s">
        <v>210</v>
      </c>
      <c r="D110" s="56">
        <v>11028</v>
      </c>
      <c r="E110" s="57">
        <f t="shared" si="193"/>
        <v>2.094971255163084E-3</v>
      </c>
      <c r="F110" s="167">
        <v>11940</v>
      </c>
      <c r="G110" s="166">
        <f t="shared" si="194"/>
        <v>2.335621812360369E-3</v>
      </c>
      <c r="H110" s="126">
        <v>11878</v>
      </c>
      <c r="I110" s="57">
        <f t="shared" si="195"/>
        <v>2.1774514798439085E-3</v>
      </c>
      <c r="J110" s="167">
        <v>8941</v>
      </c>
      <c r="K110" s="166">
        <f t="shared" si="196"/>
        <v>1.6000154615071998E-3</v>
      </c>
      <c r="L110" s="306">
        <v>5920</v>
      </c>
      <c r="M110" s="214">
        <f t="shared" si="197"/>
        <v>1.1537028404475743E-3</v>
      </c>
      <c r="N110" s="508">
        <v>12091</v>
      </c>
      <c r="O110" s="509">
        <f t="shared" si="198"/>
        <v>2.2256824723685688E-3</v>
      </c>
      <c r="P110" s="655">
        <v>13281</v>
      </c>
      <c r="Q110" s="356">
        <f t="shared" si="199"/>
        <v>2.2867574172399916E-3</v>
      </c>
      <c r="R110" s="508">
        <f>8867+6337</f>
        <v>15204</v>
      </c>
      <c r="S110" s="509">
        <f t="shared" si="200"/>
        <v>2.8744003867320067E-3</v>
      </c>
      <c r="T110" s="355">
        <v>19131</v>
      </c>
      <c r="U110" s="356">
        <f t="shared" si="201"/>
        <v>3.9354350845549751E-3</v>
      </c>
      <c r="V110" s="655">
        <v>23689</v>
      </c>
      <c r="W110" s="860">
        <f t="shared" si="202"/>
        <v>4.396843271070241E-3</v>
      </c>
      <c r="X110" s="655">
        <v>20393</v>
      </c>
      <c r="Y110" s="860">
        <f t="shared" si="203"/>
        <v>3.7883643175575538E-3</v>
      </c>
      <c r="Z110" s="1088">
        <v>16000</v>
      </c>
      <c r="AA110" s="1050">
        <f t="shared" si="204"/>
        <v>3.248730964467005E-3</v>
      </c>
      <c r="AB110" s="1144">
        <f t="shared" si="205"/>
        <v>-5000</v>
      </c>
      <c r="AC110" s="1136"/>
      <c r="AD110" s="557">
        <v>19622</v>
      </c>
      <c r="AE110" s="748">
        <f t="shared" si="206"/>
        <v>4.310177241816056E-3</v>
      </c>
      <c r="AF110" s="978">
        <v>19000</v>
      </c>
      <c r="AG110" s="782">
        <f t="shared" si="208"/>
        <v>3.9921333960868692E-3</v>
      </c>
      <c r="AH110" s="1001">
        <f t="shared" si="209"/>
        <v>622</v>
      </c>
      <c r="AI110" s="451">
        <f t="shared" si="210"/>
        <v>3.2736842105263154E-2</v>
      </c>
      <c r="AJ110" s="1088">
        <v>21000</v>
      </c>
      <c r="AK110" s="1050">
        <f t="shared" si="211"/>
        <v>3.9252336448598133E-3</v>
      </c>
      <c r="AL110" s="842">
        <v>19000</v>
      </c>
      <c r="AM110" s="586">
        <f t="shared" si="212"/>
        <v>3.3928571428571428E-3</v>
      </c>
      <c r="AN110" s="982">
        <v>19000</v>
      </c>
      <c r="AO110" s="782">
        <f t="shared" si="213"/>
        <v>3.3928571428571428E-3</v>
      </c>
      <c r="AP110" s="450">
        <f t="shared" si="214"/>
        <v>3788.6666666666679</v>
      </c>
      <c r="AQ110" s="451">
        <f t="shared" si="215"/>
        <v>0.19940350877192989</v>
      </c>
      <c r="AR110" s="1125">
        <v>18938</v>
      </c>
      <c r="AS110" s="748">
        <f t="shared" si="216"/>
        <v>3.973661952533015E-3</v>
      </c>
      <c r="AT110" s="902">
        <v>19746</v>
      </c>
      <c r="AU110" s="748">
        <f t="shared" si="217"/>
        <v>3.6770778534550583E-3</v>
      </c>
      <c r="AV110" s="450">
        <f t="shared" si="218"/>
        <v>684</v>
      </c>
      <c r="AW110" s="452">
        <f t="shared" si="219"/>
        <v>3.6117858274368995E-2</v>
      </c>
    </row>
    <row r="111" spans="1:49" ht="18" hidden="1" customHeight="1" x14ac:dyDescent="0.25">
      <c r="A111" s="106">
        <v>5</v>
      </c>
      <c r="B111" s="107" t="s">
        <v>69</v>
      </c>
      <c r="C111" s="78" t="s">
        <v>278</v>
      </c>
      <c r="D111" s="56">
        <v>7353</v>
      </c>
      <c r="E111" s="57">
        <f t="shared" si="193"/>
        <v>1.3968374718184764E-3</v>
      </c>
      <c r="F111" s="167">
        <v>8639</v>
      </c>
      <c r="G111" s="166">
        <f t="shared" si="194"/>
        <v>1.6899025826617442E-3</v>
      </c>
      <c r="H111" s="126">
        <v>9803</v>
      </c>
      <c r="I111" s="57">
        <f t="shared" si="195"/>
        <v>1.7970665816559887E-3</v>
      </c>
      <c r="J111" s="167">
        <v>11318</v>
      </c>
      <c r="K111" s="166">
        <f t="shared" si="196"/>
        <v>2.0253858621338203E-3</v>
      </c>
      <c r="L111" s="306">
        <v>30892</v>
      </c>
      <c r="M111" s="214">
        <f t="shared" si="197"/>
        <v>6.0203020518760919E-3</v>
      </c>
      <c r="N111" s="508">
        <v>32811</v>
      </c>
      <c r="O111" s="509">
        <f t="shared" si="198"/>
        <v>6.0397707055566225E-3</v>
      </c>
      <c r="P111" s="655">
        <v>31790</v>
      </c>
      <c r="Q111" s="356">
        <f t="shared" si="199"/>
        <v>5.4736855879873002E-3</v>
      </c>
      <c r="R111" s="508">
        <v>36982</v>
      </c>
      <c r="S111" s="509">
        <f t="shared" si="200"/>
        <v>6.9916518746463482E-3</v>
      </c>
      <c r="T111" s="355">
        <v>62393</v>
      </c>
      <c r="U111" s="356">
        <f t="shared" si="201"/>
        <v>1.2834854489082568E-2</v>
      </c>
      <c r="V111" s="655">
        <v>49561</v>
      </c>
      <c r="W111" s="860">
        <f t="shared" si="202"/>
        <v>9.1988665354177986E-3</v>
      </c>
      <c r="X111" s="655">
        <v>63465</v>
      </c>
      <c r="Y111" s="860">
        <f t="shared" si="203"/>
        <v>1.178975831970726E-2</v>
      </c>
      <c r="Z111" s="1088">
        <v>88000</v>
      </c>
      <c r="AA111" s="1050">
        <f t="shared" si="204"/>
        <v>1.7868020304568528E-2</v>
      </c>
      <c r="AB111" s="1144">
        <f t="shared" si="205"/>
        <v>13000</v>
      </c>
      <c r="AC111" s="1136"/>
      <c r="AD111" s="557">
        <v>65414</v>
      </c>
      <c r="AE111" s="748">
        <f t="shared" si="206"/>
        <v>1.4368868315979793E-2</v>
      </c>
      <c r="AF111" s="978">
        <v>65000</v>
      </c>
      <c r="AG111" s="782">
        <f t="shared" si="208"/>
        <v>1.3657298460297182E-2</v>
      </c>
      <c r="AH111" s="1001">
        <f t="shared" si="209"/>
        <v>414</v>
      </c>
      <c r="AI111" s="451">
        <f t="shared" si="210"/>
        <v>6.3692307692307694E-3</v>
      </c>
      <c r="AJ111" s="1088">
        <v>75000</v>
      </c>
      <c r="AK111" s="1050">
        <f t="shared" si="211"/>
        <v>1.4018691588785047E-2</v>
      </c>
      <c r="AL111" s="842">
        <v>75000</v>
      </c>
      <c r="AM111" s="586">
        <f t="shared" si="212"/>
        <v>1.3392857142857142E-2</v>
      </c>
      <c r="AN111" s="982">
        <v>75000</v>
      </c>
      <c r="AO111" s="782">
        <f t="shared" si="213"/>
        <v>1.3392857142857142E-2</v>
      </c>
      <c r="AP111" s="450">
        <f t="shared" si="214"/>
        <v>2914</v>
      </c>
      <c r="AQ111" s="451">
        <f t="shared" si="215"/>
        <v>3.885333333333333E-2</v>
      </c>
      <c r="AR111" s="1125">
        <v>53860</v>
      </c>
      <c r="AS111" s="748">
        <f t="shared" si="216"/>
        <v>1.1301163415536393E-2</v>
      </c>
      <c r="AT111" s="902">
        <f>60834+10543</f>
        <v>71377</v>
      </c>
      <c r="AU111" s="748">
        <f t="shared" si="217"/>
        <v>1.3291744451841472E-2</v>
      </c>
      <c r="AV111" s="450">
        <f t="shared" si="218"/>
        <v>11554</v>
      </c>
      <c r="AW111" s="452">
        <f t="shared" si="219"/>
        <v>0.21451912365391756</v>
      </c>
    </row>
    <row r="112" spans="1:49" ht="18" hidden="1" customHeight="1" x14ac:dyDescent="0.25">
      <c r="A112" s="104">
        <v>6</v>
      </c>
      <c r="B112" s="107" t="s">
        <v>70</v>
      </c>
      <c r="C112" s="78" t="s">
        <v>211</v>
      </c>
      <c r="D112" s="56">
        <v>12154</v>
      </c>
      <c r="E112" s="57">
        <f t="shared" si="193"/>
        <v>2.3088756470123436E-3</v>
      </c>
      <c r="F112" s="167">
        <v>13560</v>
      </c>
      <c r="G112" s="166">
        <f t="shared" si="194"/>
        <v>2.6525152240876549E-3</v>
      </c>
      <c r="H112" s="126">
        <v>13580</v>
      </c>
      <c r="I112" s="57">
        <f t="shared" si="195"/>
        <v>2.489458755369614E-3</v>
      </c>
      <c r="J112" s="167">
        <v>14208</v>
      </c>
      <c r="K112" s="166">
        <f t="shared" si="196"/>
        <v>2.5425589617597915E-3</v>
      </c>
      <c r="L112" s="306">
        <v>14066</v>
      </c>
      <c r="M112" s="214">
        <f t="shared" si="197"/>
        <v>2.7412135394823617E-3</v>
      </c>
      <c r="N112" s="508">
        <v>14794</v>
      </c>
      <c r="O112" s="509">
        <f t="shared" si="198"/>
        <v>2.7232442722868754E-3</v>
      </c>
      <c r="P112" s="655">
        <v>19529</v>
      </c>
      <c r="Q112" s="356">
        <f t="shared" si="199"/>
        <v>3.3625544462977035E-3</v>
      </c>
      <c r="R112" s="508">
        <v>23493</v>
      </c>
      <c r="S112" s="509">
        <f t="shared" si="200"/>
        <v>4.4414817341156959E-3</v>
      </c>
      <c r="T112" s="355">
        <v>21686</v>
      </c>
      <c r="U112" s="356">
        <f t="shared" si="201"/>
        <v>4.4610237438533901E-3</v>
      </c>
      <c r="V112" s="655">
        <v>17916</v>
      </c>
      <c r="W112" s="860">
        <f t="shared" si="202"/>
        <v>3.3253342920551497E-3</v>
      </c>
      <c r="X112" s="655">
        <v>5169</v>
      </c>
      <c r="Y112" s="860">
        <f t="shared" si="203"/>
        <v>9.6023415669371814E-4</v>
      </c>
      <c r="Z112" s="1088">
        <v>7000</v>
      </c>
      <c r="AA112" s="1050">
        <f t="shared" si="204"/>
        <v>1.4213197969543147E-3</v>
      </c>
      <c r="AB112" s="1144">
        <f t="shared" si="205"/>
        <v>-1000</v>
      </c>
      <c r="AC112" s="1136"/>
      <c r="AD112" s="557">
        <v>8623</v>
      </c>
      <c r="AE112" s="748">
        <f t="shared" si="206"/>
        <v>1.8941320128518934E-3</v>
      </c>
      <c r="AF112" s="978">
        <v>8000</v>
      </c>
      <c r="AG112" s="782">
        <f t="shared" si="208"/>
        <v>1.6808982720365763E-3</v>
      </c>
      <c r="AH112" s="1001">
        <f t="shared" si="209"/>
        <v>623</v>
      </c>
      <c r="AI112" s="451">
        <f t="shared" si="210"/>
        <v>7.7875E-2</v>
      </c>
      <c r="AJ112" s="1088">
        <v>8000</v>
      </c>
      <c r="AK112" s="1050">
        <f t="shared" si="211"/>
        <v>1.4953271028037382E-3</v>
      </c>
      <c r="AL112" s="842">
        <v>5500</v>
      </c>
      <c r="AM112" s="586">
        <f t="shared" si="212"/>
        <v>9.8214285714285721E-4</v>
      </c>
      <c r="AN112" s="982">
        <v>5500</v>
      </c>
      <c r="AO112" s="782">
        <f t="shared" si="213"/>
        <v>9.8214285714285721E-4</v>
      </c>
      <c r="AP112" s="450">
        <f t="shared" si="214"/>
        <v>4039.666666666667</v>
      </c>
      <c r="AQ112" s="451">
        <f t="shared" si="215"/>
        <v>0.73448484848484852</v>
      </c>
      <c r="AR112" s="1125">
        <v>5369</v>
      </c>
      <c r="AS112" s="748">
        <f t="shared" si="216"/>
        <v>1.1265493200522632E-3</v>
      </c>
      <c r="AT112" s="902">
        <v>5369</v>
      </c>
      <c r="AU112" s="748">
        <f t="shared" si="217"/>
        <v>9.9980912565583962E-4</v>
      </c>
      <c r="AV112" s="450">
        <f t="shared" si="218"/>
        <v>3254</v>
      </c>
      <c r="AW112" s="452">
        <f t="shared" si="219"/>
        <v>0.60607189420748742</v>
      </c>
    </row>
    <row r="113" spans="1:50" ht="18" hidden="1" customHeight="1" x14ac:dyDescent="0.25">
      <c r="A113" s="104">
        <v>7</v>
      </c>
      <c r="B113" s="107" t="s">
        <v>71</v>
      </c>
      <c r="C113" s="78" t="s">
        <v>212</v>
      </c>
      <c r="D113" s="56">
        <v>7386</v>
      </c>
      <c r="E113" s="57">
        <f t="shared" si="193"/>
        <v>1.4031064282403463E-3</v>
      </c>
      <c r="F113" s="167">
        <v>6747</v>
      </c>
      <c r="G113" s="166">
        <f t="shared" si="194"/>
        <v>1.3198023758790125E-3</v>
      </c>
      <c r="H113" s="126">
        <v>7926</v>
      </c>
      <c r="I113" s="57">
        <f t="shared" si="195"/>
        <v>1.4529786520662417E-3</v>
      </c>
      <c r="J113" s="167">
        <v>7818</v>
      </c>
      <c r="K113" s="166">
        <f t="shared" si="196"/>
        <v>1.3990516584345475E-3</v>
      </c>
      <c r="L113" s="306">
        <v>7184</v>
      </c>
      <c r="M113" s="214">
        <f t="shared" si="197"/>
        <v>1.4000339874620565E-3</v>
      </c>
      <c r="N113" s="508">
        <v>6304</v>
      </c>
      <c r="O113" s="509">
        <f t="shared" si="198"/>
        <v>1.1604253002904194E-3</v>
      </c>
      <c r="P113" s="655">
        <v>9004</v>
      </c>
      <c r="Q113" s="356">
        <f t="shared" si="199"/>
        <v>1.5503323382899546E-3</v>
      </c>
      <c r="R113" s="508">
        <v>13695</v>
      </c>
      <c r="S113" s="509">
        <f t="shared" si="200"/>
        <v>2.5891155811822437E-3</v>
      </c>
      <c r="T113" s="355">
        <v>9013</v>
      </c>
      <c r="U113" s="356">
        <f t="shared" si="201"/>
        <v>1.8540628517638386E-3</v>
      </c>
      <c r="V113" s="655">
        <v>7889</v>
      </c>
      <c r="W113" s="860">
        <f t="shared" si="202"/>
        <v>1.4642533059847666E-3</v>
      </c>
      <c r="X113" s="655">
        <v>5284</v>
      </c>
      <c r="Y113" s="860">
        <f t="shared" si="203"/>
        <v>9.8159746255941315E-4</v>
      </c>
      <c r="Z113" s="1088">
        <v>7000</v>
      </c>
      <c r="AA113" s="1050">
        <f t="shared" si="204"/>
        <v>1.4213197969543147E-3</v>
      </c>
      <c r="AB113" s="1144">
        <f t="shared" si="205"/>
        <v>0</v>
      </c>
      <c r="AC113" s="1136"/>
      <c r="AD113" s="557">
        <v>5496</v>
      </c>
      <c r="AE113" s="748">
        <f t="shared" si="206"/>
        <v>1.2072538029263603E-3</v>
      </c>
      <c r="AF113" s="978">
        <f t="shared" si="207"/>
        <v>5810</v>
      </c>
      <c r="AG113" s="782">
        <f t="shared" si="208"/>
        <v>1.2207523700665636E-3</v>
      </c>
      <c r="AH113" s="1001">
        <f t="shared" si="209"/>
        <v>-314</v>
      </c>
      <c r="AI113" s="451">
        <f t="shared" si="210"/>
        <v>-5.4044750430292596E-2</v>
      </c>
      <c r="AJ113" s="1088">
        <v>7000</v>
      </c>
      <c r="AK113" s="1050">
        <f t="shared" si="211"/>
        <v>1.3084112149532711E-3</v>
      </c>
      <c r="AL113" s="842">
        <v>5500</v>
      </c>
      <c r="AM113" s="586">
        <f t="shared" si="212"/>
        <v>9.8214285714285721E-4</v>
      </c>
      <c r="AN113" s="982">
        <v>5500</v>
      </c>
      <c r="AO113" s="782">
        <f t="shared" si="213"/>
        <v>9.8214285714285721E-4</v>
      </c>
      <c r="AP113" s="450">
        <f t="shared" si="214"/>
        <v>912.66666666666697</v>
      </c>
      <c r="AQ113" s="451">
        <f t="shared" si="215"/>
        <v>0.165939393939394</v>
      </c>
      <c r="AR113" s="1125">
        <v>5230</v>
      </c>
      <c r="AS113" s="748">
        <f t="shared" si="216"/>
        <v>1.0973836736586583E-3</v>
      </c>
      <c r="AT113" s="902">
        <v>6922</v>
      </c>
      <c r="AU113" s="748">
        <f t="shared" si="217"/>
        <v>1.289007034417903E-3</v>
      </c>
      <c r="AV113" s="450">
        <f t="shared" si="218"/>
        <v>266</v>
      </c>
      <c r="AW113" s="452">
        <f t="shared" si="219"/>
        <v>5.0860420650095606E-2</v>
      </c>
    </row>
    <row r="114" spans="1:50" ht="18" hidden="1" customHeight="1" x14ac:dyDescent="0.25">
      <c r="A114" s="106">
        <v>8</v>
      </c>
      <c r="B114" s="107" t="s">
        <v>73</v>
      </c>
      <c r="C114" s="78" t="s">
        <v>279</v>
      </c>
      <c r="D114" s="56">
        <v>1209</v>
      </c>
      <c r="E114" s="57">
        <f t="shared" si="193"/>
        <v>2.2967176709214442E-4</v>
      </c>
      <c r="F114" s="167">
        <v>1253</v>
      </c>
      <c r="G114" s="166">
        <f t="shared" si="194"/>
        <v>2.451033610458578E-4</v>
      </c>
      <c r="H114" s="126">
        <v>970</v>
      </c>
      <c r="I114" s="57">
        <f t="shared" si="195"/>
        <v>1.7781848252640099E-4</v>
      </c>
      <c r="J114" s="167">
        <v>1030</v>
      </c>
      <c r="K114" s="166">
        <f t="shared" si="196"/>
        <v>1.8432120851721463E-4</v>
      </c>
      <c r="L114" s="306">
        <v>2338</v>
      </c>
      <c r="M114" s="214">
        <f t="shared" si="197"/>
        <v>4.5563466908216701E-4</v>
      </c>
      <c r="N114" s="508">
        <v>1614</v>
      </c>
      <c r="O114" s="509">
        <f t="shared" si="198"/>
        <v>2.9710127453501535E-4</v>
      </c>
      <c r="P114" s="655">
        <v>1184</v>
      </c>
      <c r="Q114" s="356">
        <f t="shared" si="199"/>
        <v>2.0386422573692871E-4</v>
      </c>
      <c r="R114" s="508">
        <v>761</v>
      </c>
      <c r="S114" s="509">
        <f t="shared" si="200"/>
        <v>1.4387126376631525E-4</v>
      </c>
      <c r="T114" s="355">
        <v>1162</v>
      </c>
      <c r="U114" s="356">
        <f t="shared" si="201"/>
        <v>2.3903484231105961E-4</v>
      </c>
      <c r="V114" s="655">
        <v>2116</v>
      </c>
      <c r="W114" s="860">
        <f t="shared" si="202"/>
        <v>3.9274432696967496E-4</v>
      </c>
      <c r="X114" s="655">
        <v>1441</v>
      </c>
      <c r="Y114" s="860">
        <f t="shared" si="203"/>
        <v>2.6769151089101333E-4</v>
      </c>
      <c r="Z114" s="1088">
        <v>2000</v>
      </c>
      <c r="AA114" s="1050">
        <f t="shared" si="204"/>
        <v>4.0609137055837562E-4</v>
      </c>
      <c r="AB114" s="1144">
        <f t="shared" si="205"/>
        <v>500</v>
      </c>
      <c r="AC114" s="1136"/>
      <c r="AD114" s="557">
        <v>1042</v>
      </c>
      <c r="AE114" s="748">
        <f t="shared" si="206"/>
        <v>2.2888618316034708E-4</v>
      </c>
      <c r="AF114" s="978">
        <f t="shared" si="207"/>
        <v>1245</v>
      </c>
      <c r="AG114" s="782">
        <f t="shared" si="208"/>
        <v>2.6158979358569217E-4</v>
      </c>
      <c r="AH114" s="1001">
        <f t="shared" si="209"/>
        <v>-203</v>
      </c>
      <c r="AI114" s="451">
        <f t="shared" si="210"/>
        <v>-0.16305220883534136</v>
      </c>
      <c r="AJ114" s="1088">
        <v>1500</v>
      </c>
      <c r="AK114" s="1050">
        <f t="shared" si="211"/>
        <v>2.8037383177570094E-4</v>
      </c>
      <c r="AL114" s="842">
        <v>2000</v>
      </c>
      <c r="AM114" s="586">
        <f t="shared" si="212"/>
        <v>3.5714285714285714E-4</v>
      </c>
      <c r="AN114" s="982">
        <v>2000</v>
      </c>
      <c r="AO114" s="782">
        <f t="shared" si="213"/>
        <v>3.5714285714285714E-4</v>
      </c>
      <c r="AP114" s="450">
        <f t="shared" si="214"/>
        <v>-624.66666666666652</v>
      </c>
      <c r="AQ114" s="451">
        <f t="shared" si="215"/>
        <v>-0.31233333333333324</v>
      </c>
      <c r="AR114" s="1125">
        <v>2155</v>
      </c>
      <c r="AS114" s="748">
        <f t="shared" si="216"/>
        <v>4.5217243149797486E-4</v>
      </c>
      <c r="AT114" s="902">
        <v>2165</v>
      </c>
      <c r="AU114" s="748">
        <f t="shared" si="217"/>
        <v>4.0316385864125402E-4</v>
      </c>
      <c r="AV114" s="450">
        <f t="shared" si="218"/>
        <v>-1113</v>
      </c>
      <c r="AW114" s="452">
        <f t="shared" si="219"/>
        <v>-0.51647331786542927</v>
      </c>
    </row>
    <row r="115" spans="1:50" ht="18" hidden="1" customHeight="1" x14ac:dyDescent="0.25">
      <c r="A115" s="104">
        <v>9</v>
      </c>
      <c r="B115" s="107" t="s">
        <v>74</v>
      </c>
      <c r="C115" s="78" t="s">
        <v>280</v>
      </c>
      <c r="D115" s="56">
        <v>51320</v>
      </c>
      <c r="E115" s="57">
        <f t="shared" si="193"/>
        <v>9.7491770778898694E-3</v>
      </c>
      <c r="F115" s="167">
        <v>55155</v>
      </c>
      <c r="G115" s="166">
        <f t="shared" si="194"/>
        <v>1.0789046990011403E-2</v>
      </c>
      <c r="H115" s="126">
        <v>55008</v>
      </c>
      <c r="I115" s="57">
        <f t="shared" si="195"/>
        <v>1.0083957821455944E-2</v>
      </c>
      <c r="J115" s="167">
        <v>51805</v>
      </c>
      <c r="K115" s="166">
        <f t="shared" si="196"/>
        <v>9.2706409778973813E-3</v>
      </c>
      <c r="L115" s="306">
        <v>48657</v>
      </c>
      <c r="M115" s="214">
        <f t="shared" si="197"/>
        <v>9.4823849844016261E-3</v>
      </c>
      <c r="N115" s="508">
        <v>41671</v>
      </c>
      <c r="O115" s="509">
        <f t="shared" si="198"/>
        <v>7.6706983960028651E-3</v>
      </c>
      <c r="P115" s="655">
        <v>56127</v>
      </c>
      <c r="Q115" s="356">
        <f t="shared" si="199"/>
        <v>9.6640940860950996E-3</v>
      </c>
      <c r="R115" s="508">
        <v>31191</v>
      </c>
      <c r="S115" s="509">
        <f t="shared" si="200"/>
        <v>5.8968312590474891E-3</v>
      </c>
      <c r="T115" s="355">
        <v>33921</v>
      </c>
      <c r="U115" s="356">
        <f t="shared" si="201"/>
        <v>6.9778837229203554E-3</v>
      </c>
      <c r="V115" s="655">
        <v>28420</v>
      </c>
      <c r="W115" s="860">
        <f t="shared" si="202"/>
        <v>5.2749497979575439E-3</v>
      </c>
      <c r="X115" s="655">
        <v>20167</v>
      </c>
      <c r="Y115" s="860">
        <f t="shared" si="203"/>
        <v>3.7463807773345358E-3</v>
      </c>
      <c r="Z115" s="1088">
        <v>16000</v>
      </c>
      <c r="AA115" s="1050">
        <f t="shared" si="204"/>
        <v>3.248730964467005E-3</v>
      </c>
      <c r="AB115" s="1144">
        <f t="shared" si="205"/>
        <v>1000</v>
      </c>
      <c r="AC115" s="1136"/>
      <c r="AD115" s="557">
        <v>11369</v>
      </c>
      <c r="AE115" s="748">
        <f t="shared" si="206"/>
        <v>2.49731959342609E-3</v>
      </c>
      <c r="AF115" s="978">
        <f t="shared" si="207"/>
        <v>12450</v>
      </c>
      <c r="AG115" s="782">
        <f t="shared" si="208"/>
        <v>2.6158979358569217E-3</v>
      </c>
      <c r="AH115" s="1001">
        <f t="shared" si="209"/>
        <v>-1081</v>
      </c>
      <c r="AI115" s="451">
        <f t="shared" si="210"/>
        <v>-8.6827309236947786E-2</v>
      </c>
      <c r="AJ115" s="1088">
        <v>15000</v>
      </c>
      <c r="AK115" s="1050">
        <f t="shared" si="211"/>
        <v>2.8037383177570091E-3</v>
      </c>
      <c r="AL115" s="842">
        <v>15000</v>
      </c>
      <c r="AM115" s="586">
        <f t="shared" si="212"/>
        <v>2.6785714285714286E-3</v>
      </c>
      <c r="AN115" s="982">
        <v>15000</v>
      </c>
      <c r="AO115" s="782">
        <f t="shared" si="213"/>
        <v>2.6785714285714286E-3</v>
      </c>
      <c r="AP115" s="1001">
        <f>$AD115-(AL115*$AX$3)</f>
        <v>-1081</v>
      </c>
      <c r="AQ115" s="451">
        <f t="shared" si="215"/>
        <v>-7.2066666666666668E-2</v>
      </c>
      <c r="AR115" s="1125">
        <v>23771</v>
      </c>
      <c r="AS115" s="748">
        <f t="shared" si="216"/>
        <v>4.9877451828948313E-3</v>
      </c>
      <c r="AT115" s="902">
        <v>24252</v>
      </c>
      <c r="AU115" s="748">
        <f t="shared" si="217"/>
        <v>4.5161800922714516E-3</v>
      </c>
      <c r="AV115" s="450">
        <f t="shared" si="218"/>
        <v>-12402</v>
      </c>
      <c r="AW115" s="452">
        <f t="shared" si="219"/>
        <v>-0.52172815615666146</v>
      </c>
      <c r="AX115" s="266" t="s">
        <v>330</v>
      </c>
    </row>
    <row r="116" spans="1:50" ht="18" hidden="1" customHeight="1" x14ac:dyDescent="0.25">
      <c r="A116" s="104">
        <v>10</v>
      </c>
      <c r="B116" s="107" t="s">
        <v>76</v>
      </c>
      <c r="C116" s="78" t="s">
        <v>277</v>
      </c>
      <c r="D116" s="56">
        <v>38041</v>
      </c>
      <c r="E116" s="57">
        <f t="shared" si="193"/>
        <v>7.2265870074046858E-3</v>
      </c>
      <c r="F116" s="167">
        <v>65259</v>
      </c>
      <c r="G116" s="166">
        <f t="shared" si="194"/>
        <v>1.2765522935747514E-2</v>
      </c>
      <c r="H116" s="126">
        <v>35583</v>
      </c>
      <c r="I116" s="57">
        <f t="shared" si="195"/>
        <v>6.5230052203473473E-3</v>
      </c>
      <c r="J116" s="167">
        <v>22597</v>
      </c>
      <c r="K116" s="166">
        <f t="shared" si="196"/>
        <v>4.0437925717121343E-3</v>
      </c>
      <c r="L116" s="306">
        <f>16996+113310</f>
        <v>130306</v>
      </c>
      <c r="M116" s="214">
        <f t="shared" si="197"/>
        <v>2.5394324717459733E-2</v>
      </c>
      <c r="N116" s="508">
        <v>17917</v>
      </c>
      <c r="O116" s="509">
        <f t="shared" si="198"/>
        <v>3.2981186715265614E-3</v>
      </c>
      <c r="P116" s="655">
        <v>19748</v>
      </c>
      <c r="Q116" s="356">
        <f t="shared" si="199"/>
        <v>3.4002624407541118E-3</v>
      </c>
      <c r="R116" s="508">
        <f>18450+121515</f>
        <v>139965</v>
      </c>
      <c r="S116" s="509">
        <f t="shared" si="200"/>
        <v>2.646115825631053E-2</v>
      </c>
      <c r="T116" s="355">
        <v>21549</v>
      </c>
      <c r="U116" s="356">
        <f t="shared" si="201"/>
        <v>4.4328414948029467E-3</v>
      </c>
      <c r="V116" s="655">
        <v>17031</v>
      </c>
      <c r="W116" s="860">
        <f t="shared" si="202"/>
        <v>3.1610721326184002E-3</v>
      </c>
      <c r="X116" s="655">
        <v>16524</v>
      </c>
      <c r="Y116" s="860">
        <f t="shared" si="203"/>
        <v>3.0696284010847358E-3</v>
      </c>
      <c r="Z116" s="1088">
        <v>15000</v>
      </c>
      <c r="AA116" s="1050">
        <f t="shared" si="204"/>
        <v>3.0456852791878172E-3</v>
      </c>
      <c r="AB116" s="1144">
        <f t="shared" si="205"/>
        <v>-3000</v>
      </c>
      <c r="AC116" s="1136"/>
      <c r="AD116" s="557">
        <v>11698</v>
      </c>
      <c r="AE116" s="748">
        <f t="shared" si="206"/>
        <v>2.5695878796638582E-3</v>
      </c>
      <c r="AF116" s="978">
        <f t="shared" si="207"/>
        <v>14940</v>
      </c>
      <c r="AG116" s="782">
        <f t="shared" si="208"/>
        <v>3.1390775230283065E-3</v>
      </c>
      <c r="AH116" s="1001">
        <f t="shared" si="209"/>
        <v>-3242</v>
      </c>
      <c r="AI116" s="451">
        <f t="shared" si="210"/>
        <v>-0.21700133868808569</v>
      </c>
      <c r="AJ116" s="1088">
        <v>18000</v>
      </c>
      <c r="AK116" s="1050">
        <f t="shared" si="211"/>
        <v>3.3644859813084112E-3</v>
      </c>
      <c r="AL116" s="842">
        <v>18000</v>
      </c>
      <c r="AM116" s="586">
        <f t="shared" si="212"/>
        <v>3.2142857142857142E-3</v>
      </c>
      <c r="AN116" s="982">
        <v>18000</v>
      </c>
      <c r="AO116" s="782">
        <f t="shared" si="213"/>
        <v>3.2142857142857142E-3</v>
      </c>
      <c r="AP116" s="450">
        <f t="shared" si="214"/>
        <v>-3302</v>
      </c>
      <c r="AQ116" s="451">
        <f t="shared" si="215"/>
        <v>-0.18344444444444444</v>
      </c>
      <c r="AR116" s="1125">
        <v>17115</v>
      </c>
      <c r="AS116" s="748">
        <f t="shared" si="216"/>
        <v>3.5911513527089743E-3</v>
      </c>
      <c r="AT116" s="902">
        <v>17185</v>
      </c>
      <c r="AU116" s="748">
        <f t="shared" si="217"/>
        <v>3.2001713213625636E-3</v>
      </c>
      <c r="AV116" s="450">
        <f t="shared" si="218"/>
        <v>-5417</v>
      </c>
      <c r="AW116" s="452">
        <f t="shared" si="219"/>
        <v>-0.31650598889862691</v>
      </c>
    </row>
    <row r="117" spans="1:50" ht="18" hidden="1" customHeight="1" x14ac:dyDescent="0.25">
      <c r="A117" s="106">
        <v>11</v>
      </c>
      <c r="B117" s="107" t="s">
        <v>77</v>
      </c>
      <c r="C117" s="78" t="s">
        <v>213</v>
      </c>
      <c r="D117" s="56">
        <v>10520</v>
      </c>
      <c r="E117" s="57">
        <f t="shared" si="193"/>
        <v>1.9984673199415709E-3</v>
      </c>
      <c r="F117" s="167">
        <v>25494</v>
      </c>
      <c r="G117" s="166">
        <f t="shared" si="194"/>
        <v>4.9869633571453303E-3</v>
      </c>
      <c r="H117" s="126">
        <v>9149</v>
      </c>
      <c r="I117" s="57">
        <f t="shared" si="195"/>
        <v>1.6771765944680853E-3</v>
      </c>
      <c r="J117" s="167">
        <v>4813</v>
      </c>
      <c r="K117" s="166">
        <f t="shared" si="196"/>
        <v>8.6129900640131453E-4</v>
      </c>
      <c r="L117" s="306">
        <v>2595</v>
      </c>
      <c r="M117" s="214">
        <f t="shared" si="197"/>
        <v>5.0571940387862419E-4</v>
      </c>
      <c r="N117" s="508">
        <v>3025</v>
      </c>
      <c r="O117" s="509">
        <f t="shared" si="198"/>
        <v>5.5683479273136393E-4</v>
      </c>
      <c r="P117" s="655">
        <v>6701</v>
      </c>
      <c r="Q117" s="356">
        <f t="shared" si="199"/>
        <v>1.1537957573168574E-3</v>
      </c>
      <c r="R117" s="508">
        <v>1663</v>
      </c>
      <c r="S117" s="509">
        <f t="shared" si="200"/>
        <v>3.1439935826988472E-4</v>
      </c>
      <c r="T117" s="355">
        <v>4497</v>
      </c>
      <c r="U117" s="356">
        <f t="shared" si="201"/>
        <v>9.2507718233462576E-4</v>
      </c>
      <c r="V117" s="655">
        <v>3628</v>
      </c>
      <c r="W117" s="860">
        <f t="shared" si="202"/>
        <v>6.7338205021076603E-4</v>
      </c>
      <c r="X117" s="655">
        <v>6568</v>
      </c>
      <c r="Y117" s="860">
        <f t="shared" si="203"/>
        <v>1.2201234167468255E-3</v>
      </c>
      <c r="Z117" s="1088">
        <v>2000</v>
      </c>
      <c r="AA117" s="1050">
        <f t="shared" si="204"/>
        <v>4.0609137055837562E-4</v>
      </c>
      <c r="AB117" s="1144">
        <f t="shared" si="205"/>
        <v>0</v>
      </c>
      <c r="AC117" s="1136"/>
      <c r="AD117" s="557">
        <v>2453</v>
      </c>
      <c r="AE117" s="748">
        <f t="shared" si="206"/>
        <v>5.3882707033812993E-4</v>
      </c>
      <c r="AF117" s="978">
        <f t="shared" si="207"/>
        <v>1660</v>
      </c>
      <c r="AG117" s="782">
        <f t="shared" si="208"/>
        <v>3.4878639144758958E-4</v>
      </c>
      <c r="AH117" s="1001">
        <f t="shared" si="209"/>
        <v>793</v>
      </c>
      <c r="AI117" s="451">
        <f t="shared" si="210"/>
        <v>0.47771084337349395</v>
      </c>
      <c r="AJ117" s="1088">
        <v>2000</v>
      </c>
      <c r="AK117" s="1050">
        <f t="shared" si="211"/>
        <v>3.7383177570093456E-4</v>
      </c>
      <c r="AL117" s="842">
        <v>5000</v>
      </c>
      <c r="AM117" s="586">
        <f t="shared" si="212"/>
        <v>8.9285714285714283E-4</v>
      </c>
      <c r="AN117" s="982">
        <v>5000</v>
      </c>
      <c r="AO117" s="782">
        <f t="shared" si="213"/>
        <v>8.9285714285714283E-4</v>
      </c>
      <c r="AP117" s="450">
        <f t="shared" si="214"/>
        <v>-1713.666666666667</v>
      </c>
      <c r="AQ117" s="451">
        <f t="shared" si="215"/>
        <v>-0.34273333333333339</v>
      </c>
      <c r="AR117" s="1125">
        <v>1150</v>
      </c>
      <c r="AS117" s="748">
        <f t="shared" si="216"/>
        <v>2.4129851332838566E-4</v>
      </c>
      <c r="AT117" s="902">
        <v>1150</v>
      </c>
      <c r="AU117" s="748">
        <f t="shared" si="217"/>
        <v>2.1415170320436124E-4</v>
      </c>
      <c r="AV117" s="450">
        <f t="shared" si="218"/>
        <v>1303</v>
      </c>
      <c r="AW117" s="452">
        <f t="shared" si="219"/>
        <v>1.1330434782608696</v>
      </c>
    </row>
    <row r="118" spans="1:50" ht="18" hidden="1" customHeight="1" x14ac:dyDescent="0.25">
      <c r="A118" s="104">
        <v>12</v>
      </c>
      <c r="B118" s="107" t="s">
        <v>78</v>
      </c>
      <c r="C118" s="78" t="s">
        <v>281</v>
      </c>
      <c r="D118" s="56">
        <v>11129</v>
      </c>
      <c r="E118" s="57">
        <f t="shared" si="193"/>
        <v>2.1141580611815343E-3</v>
      </c>
      <c r="F118" s="167">
        <v>16707</v>
      </c>
      <c r="G118" s="166">
        <f t="shared" si="194"/>
        <v>3.2681100183504759E-3</v>
      </c>
      <c r="H118" s="126">
        <v>7195</v>
      </c>
      <c r="I118" s="57">
        <f t="shared" si="195"/>
        <v>1.31897317709016E-3</v>
      </c>
      <c r="J118" s="167">
        <v>6125</v>
      </c>
      <c r="K118" s="166">
        <f t="shared" si="196"/>
        <v>1.0960848564737277E-3</v>
      </c>
      <c r="L118" s="306">
        <v>5423</v>
      </c>
      <c r="M118" s="214">
        <f t="shared" si="197"/>
        <v>1.0568463688762156E-3</v>
      </c>
      <c r="N118" s="508">
        <v>5807</v>
      </c>
      <c r="O118" s="509">
        <f t="shared" si="198"/>
        <v>1.068938724426787E-3</v>
      </c>
      <c r="P118" s="655">
        <v>6871</v>
      </c>
      <c r="Q118" s="356">
        <f t="shared" si="199"/>
        <v>1.1830668032419233E-3</v>
      </c>
      <c r="R118" s="508">
        <v>2474</v>
      </c>
      <c r="S118" s="509">
        <f t="shared" si="200"/>
        <v>4.6772339889338232E-4</v>
      </c>
      <c r="T118" s="355">
        <v>3497</v>
      </c>
      <c r="U118" s="356">
        <f t="shared" si="201"/>
        <v>7.1936733525109766E-4</v>
      </c>
      <c r="V118" s="655">
        <v>383</v>
      </c>
      <c r="W118" s="860">
        <f t="shared" si="202"/>
        <v>7.1087465609350438E-5</v>
      </c>
      <c r="X118" s="655">
        <v>4830</v>
      </c>
      <c r="Y118" s="860">
        <f t="shared" si="203"/>
        <v>8.9725884635919113E-4</v>
      </c>
      <c r="Z118" s="1089">
        <v>2000</v>
      </c>
      <c r="AA118" s="1050">
        <f t="shared" si="204"/>
        <v>4.0609137055837562E-4</v>
      </c>
      <c r="AB118" s="1144">
        <f t="shared" si="205"/>
        <v>-2000</v>
      </c>
      <c r="AC118" s="1136"/>
      <c r="AD118" s="557">
        <v>1681</v>
      </c>
      <c r="AE118" s="748">
        <f t="shared" si="206"/>
        <v>3.692492071905407E-4</v>
      </c>
      <c r="AF118" s="978">
        <f t="shared" si="207"/>
        <v>3320</v>
      </c>
      <c r="AG118" s="782">
        <f t="shared" si="208"/>
        <v>6.9757278289517917E-4</v>
      </c>
      <c r="AH118" s="1001">
        <f t="shared" si="209"/>
        <v>-1639</v>
      </c>
      <c r="AI118" s="451">
        <f t="shared" si="210"/>
        <v>-0.49367469879518072</v>
      </c>
      <c r="AJ118" s="1089">
        <v>4000</v>
      </c>
      <c r="AK118" s="1050">
        <f t="shared" si="211"/>
        <v>7.4766355140186912E-4</v>
      </c>
      <c r="AL118" s="843">
        <v>4000</v>
      </c>
      <c r="AM118" s="586">
        <f t="shared" si="212"/>
        <v>7.1428571428571429E-4</v>
      </c>
      <c r="AN118" s="983">
        <v>4000</v>
      </c>
      <c r="AO118" s="782">
        <f t="shared" si="213"/>
        <v>7.1428571428571429E-4</v>
      </c>
      <c r="AP118" s="450">
        <f t="shared" si="214"/>
        <v>-1652.333333333333</v>
      </c>
      <c r="AQ118" s="451">
        <f t="shared" si="215"/>
        <v>-0.41308333333333325</v>
      </c>
      <c r="AR118" s="1125">
        <v>3461</v>
      </c>
      <c r="AS118" s="748">
        <f t="shared" si="216"/>
        <v>7.2620361272134157E-4</v>
      </c>
      <c r="AT118" s="902">
        <v>3462</v>
      </c>
      <c r="AU118" s="748">
        <f t="shared" si="217"/>
        <v>6.4468973608130316E-4</v>
      </c>
      <c r="AV118" s="450">
        <f t="shared" si="218"/>
        <v>-1780</v>
      </c>
      <c r="AW118" s="452">
        <f t="shared" si="219"/>
        <v>-0.51430222479052301</v>
      </c>
    </row>
    <row r="119" spans="1:50" ht="18" hidden="1" customHeight="1" x14ac:dyDescent="0.25">
      <c r="A119" s="104">
        <v>13</v>
      </c>
      <c r="B119" s="107" t="s">
        <v>79</v>
      </c>
      <c r="C119" s="78" t="s">
        <v>16</v>
      </c>
      <c r="D119" s="56">
        <v>26692</v>
      </c>
      <c r="E119" s="57">
        <f t="shared" si="193"/>
        <v>5.0706359034106852E-3</v>
      </c>
      <c r="F119" s="167">
        <v>52007</v>
      </c>
      <c r="G119" s="166">
        <f t="shared" si="194"/>
        <v>1.0173256582531466E-2</v>
      </c>
      <c r="H119" s="126">
        <v>19742</v>
      </c>
      <c r="I119" s="57">
        <f t="shared" si="195"/>
        <v>3.6190644144703183E-3</v>
      </c>
      <c r="J119" s="167">
        <v>16266</v>
      </c>
      <c r="K119" s="166">
        <f t="shared" si="196"/>
        <v>2.910843473534964E-3</v>
      </c>
      <c r="L119" s="306">
        <v>10338</v>
      </c>
      <c r="M119" s="214">
        <f t="shared" si="197"/>
        <v>2.0146925615788891E-3</v>
      </c>
      <c r="N119" s="508">
        <v>11191</v>
      </c>
      <c r="O119" s="509">
        <f t="shared" si="198"/>
        <v>2.0600126166798989E-3</v>
      </c>
      <c r="P119" s="655">
        <v>22386</v>
      </c>
      <c r="Q119" s="356">
        <f t="shared" si="199"/>
        <v>3.8544802004618971E-3</v>
      </c>
      <c r="R119" s="508">
        <v>9565</v>
      </c>
      <c r="S119" s="509">
        <f t="shared" si="200"/>
        <v>1.8083162127789821E-3</v>
      </c>
      <c r="T119" s="355">
        <v>10617</v>
      </c>
      <c r="U119" s="356">
        <f t="shared" si="201"/>
        <v>2.1840214464858175E-3</v>
      </c>
      <c r="V119" s="655">
        <v>7740</v>
      </c>
      <c r="W119" s="860">
        <f t="shared" si="202"/>
        <v>1.4365978689722515E-3</v>
      </c>
      <c r="X119" s="655">
        <v>6795</v>
      </c>
      <c r="Y119" s="860">
        <f t="shared" si="203"/>
        <v>1.2622927248469365E-3</v>
      </c>
      <c r="Z119" s="1089">
        <v>3000</v>
      </c>
      <c r="AA119" s="1050">
        <f t="shared" si="204"/>
        <v>6.0913705583756346E-4</v>
      </c>
      <c r="AB119" s="1144">
        <f t="shared" si="205"/>
        <v>-3000</v>
      </c>
      <c r="AC119" s="1136"/>
      <c r="AD119" s="557">
        <v>0</v>
      </c>
      <c r="AE119" s="748">
        <f t="shared" si="206"/>
        <v>0</v>
      </c>
      <c r="AF119" s="978">
        <f t="shared" si="207"/>
        <v>4980</v>
      </c>
      <c r="AG119" s="782">
        <f t="shared" si="208"/>
        <v>1.0463591743427687E-3</v>
      </c>
      <c r="AH119" s="1001">
        <f t="shared" si="209"/>
        <v>-4980</v>
      </c>
      <c r="AI119" s="451">
        <f t="shared" si="210"/>
        <v>-1</v>
      </c>
      <c r="AJ119" s="1089">
        <v>6000</v>
      </c>
      <c r="AK119" s="1050">
        <f t="shared" si="211"/>
        <v>1.1214953271028037E-3</v>
      </c>
      <c r="AL119" s="843">
        <v>6000</v>
      </c>
      <c r="AM119" s="586">
        <f t="shared" si="212"/>
        <v>1.0714285714285715E-3</v>
      </c>
      <c r="AN119" s="983">
        <v>6000</v>
      </c>
      <c r="AO119" s="782">
        <f t="shared" si="213"/>
        <v>1.0714285714285715E-3</v>
      </c>
      <c r="AP119" s="450">
        <f t="shared" si="214"/>
        <v>-5000</v>
      </c>
      <c r="AQ119" s="451">
        <f t="shared" si="215"/>
        <v>-0.83333333333333337</v>
      </c>
      <c r="AR119" s="1125">
        <v>6105</v>
      </c>
      <c r="AS119" s="748">
        <f t="shared" si="216"/>
        <v>1.2809803685824299E-3</v>
      </c>
      <c r="AT119" s="902">
        <v>6105</v>
      </c>
      <c r="AU119" s="748">
        <f t="shared" si="217"/>
        <v>1.1368662157066308E-3</v>
      </c>
      <c r="AV119" s="450">
        <f t="shared" si="218"/>
        <v>-6105</v>
      </c>
      <c r="AW119" s="452">
        <f t="shared" si="219"/>
        <v>-1</v>
      </c>
    </row>
    <row r="120" spans="1:50" ht="18" hidden="1" customHeight="1" x14ac:dyDescent="0.25">
      <c r="A120" s="106">
        <v>14</v>
      </c>
      <c r="B120" s="107" t="s">
        <v>80</v>
      </c>
      <c r="C120" s="78" t="s">
        <v>214</v>
      </c>
      <c r="D120" s="56">
        <v>7711</v>
      </c>
      <c r="E120" s="57">
        <f t="shared" si="193"/>
        <v>1.4648461505769443E-3</v>
      </c>
      <c r="F120" s="167">
        <v>7797</v>
      </c>
      <c r="G120" s="166">
        <f t="shared" si="194"/>
        <v>1.5251962538504016E-3</v>
      </c>
      <c r="H120" s="126">
        <v>8020</v>
      </c>
      <c r="I120" s="57">
        <f t="shared" si="195"/>
        <v>1.4702105462492123E-3</v>
      </c>
      <c r="J120" s="167">
        <v>6286</v>
      </c>
      <c r="K120" s="166">
        <f t="shared" si="196"/>
        <v>1.1248962298438941E-3</v>
      </c>
      <c r="L120" s="306">
        <v>7511</v>
      </c>
      <c r="M120" s="214">
        <f t="shared" si="197"/>
        <v>1.4637604788178599E-3</v>
      </c>
      <c r="N120" s="508">
        <v>5786</v>
      </c>
      <c r="O120" s="509">
        <f t="shared" si="198"/>
        <v>1.0650730944607178E-3</v>
      </c>
      <c r="P120" s="655">
        <v>5597</v>
      </c>
      <c r="Q120" s="356">
        <f t="shared" si="199"/>
        <v>9.6370614142701858E-4</v>
      </c>
      <c r="R120" s="508">
        <v>4544</v>
      </c>
      <c r="S120" s="509">
        <f t="shared" si="200"/>
        <v>8.5906836078073129E-4</v>
      </c>
      <c r="T120" s="355">
        <v>6940</v>
      </c>
      <c r="U120" s="356">
        <f t="shared" si="201"/>
        <v>1.4276263387596848E-3</v>
      </c>
      <c r="V120" s="655">
        <v>4938</v>
      </c>
      <c r="W120" s="860">
        <f t="shared" si="202"/>
        <v>9.1652716756911862E-4</v>
      </c>
      <c r="X120" s="655">
        <v>15263</v>
      </c>
      <c r="Y120" s="860">
        <f t="shared" si="203"/>
        <v>2.8353751080704625E-3</v>
      </c>
      <c r="Z120" s="1088">
        <v>15000</v>
      </c>
      <c r="AA120" s="1050">
        <f t="shared" si="204"/>
        <v>3.0456852791878172E-3</v>
      </c>
      <c r="AB120" s="1144">
        <f t="shared" si="205"/>
        <v>0</v>
      </c>
      <c r="AC120" s="1136"/>
      <c r="AD120" s="557">
        <v>10200</v>
      </c>
      <c r="AE120" s="748">
        <f t="shared" si="206"/>
        <v>2.2405365338152975E-3</v>
      </c>
      <c r="AF120" s="978">
        <f t="shared" si="207"/>
        <v>12450</v>
      </c>
      <c r="AG120" s="782">
        <f t="shared" si="208"/>
        <v>2.6158979358569217E-3</v>
      </c>
      <c r="AH120" s="1001">
        <f t="shared" si="209"/>
        <v>-2250</v>
      </c>
      <c r="AI120" s="451">
        <f t="shared" si="210"/>
        <v>-0.18072289156626506</v>
      </c>
      <c r="AJ120" s="1088">
        <v>15000</v>
      </c>
      <c r="AK120" s="1050">
        <f t="shared" si="211"/>
        <v>2.8037383177570091E-3</v>
      </c>
      <c r="AL120" s="842">
        <v>15000</v>
      </c>
      <c r="AM120" s="586">
        <f t="shared" si="212"/>
        <v>2.6785714285714286E-3</v>
      </c>
      <c r="AN120" s="982">
        <v>15000</v>
      </c>
      <c r="AO120" s="782">
        <f t="shared" si="213"/>
        <v>2.6785714285714286E-3</v>
      </c>
      <c r="AP120" s="450">
        <f t="shared" si="214"/>
        <v>-2300</v>
      </c>
      <c r="AQ120" s="451">
        <f t="shared" si="215"/>
        <v>-0.15333333333333332</v>
      </c>
      <c r="AR120" s="1125">
        <v>10202</v>
      </c>
      <c r="AS120" s="748">
        <f t="shared" si="216"/>
        <v>2.1406325504140788E-3</v>
      </c>
      <c r="AT120" s="902">
        <v>13107</v>
      </c>
      <c r="AU120" s="748">
        <f t="shared" si="217"/>
        <v>2.4407707599126633E-3</v>
      </c>
      <c r="AV120" s="450">
        <f t="shared" si="218"/>
        <v>-2</v>
      </c>
      <c r="AW120" s="452">
        <f t="shared" si="219"/>
        <v>-1.9603999215840032E-4</v>
      </c>
    </row>
    <row r="121" spans="1:50" ht="18" hidden="1" customHeight="1" x14ac:dyDescent="0.25">
      <c r="A121" s="104">
        <v>15</v>
      </c>
      <c r="B121" s="107" t="s">
        <v>92</v>
      </c>
      <c r="C121" s="78" t="s">
        <v>327</v>
      </c>
      <c r="D121" s="56">
        <v>4791</v>
      </c>
      <c r="E121" s="57">
        <f t="shared" si="193"/>
        <v>9.1013849142966411E-4</v>
      </c>
      <c r="F121" s="167">
        <v>3920</v>
      </c>
      <c r="G121" s="166">
        <f t="shared" si="194"/>
        <v>7.6680381109318647E-4</v>
      </c>
      <c r="H121" s="126">
        <v>4027</v>
      </c>
      <c r="I121" s="57">
        <f t="shared" si="195"/>
        <v>7.3822167951939882E-4</v>
      </c>
      <c r="J121" s="167">
        <v>4958</v>
      </c>
      <c r="K121" s="166">
        <f t="shared" si="196"/>
        <v>8.8724713769742722E-4</v>
      </c>
      <c r="L121" s="306">
        <v>4082</v>
      </c>
      <c r="M121" s="214">
        <f t="shared" si="197"/>
        <v>7.9550928964645246E-4</v>
      </c>
      <c r="N121" s="508">
        <v>4311</v>
      </c>
      <c r="O121" s="509">
        <f t="shared" si="198"/>
        <v>7.9355860874873055E-4</v>
      </c>
      <c r="P121" s="655">
        <v>3302</v>
      </c>
      <c r="Q121" s="356">
        <f t="shared" si="199"/>
        <v>5.6854702143863058E-4</v>
      </c>
      <c r="R121" s="508">
        <v>5809</v>
      </c>
      <c r="S121" s="509">
        <f t="shared" si="200"/>
        <v>1.0982236152674446E-3</v>
      </c>
      <c r="T121" s="355">
        <v>6565</v>
      </c>
      <c r="U121" s="356">
        <f t="shared" si="201"/>
        <v>1.3504851461033618E-3</v>
      </c>
      <c r="V121" s="655">
        <v>3984</v>
      </c>
      <c r="W121" s="860">
        <f t="shared" si="202"/>
        <v>7.3945812790509691E-4</v>
      </c>
      <c r="X121" s="655">
        <v>9459</v>
      </c>
      <c r="Y121" s="860">
        <f t="shared" si="203"/>
        <v>1.7571783494226892E-3</v>
      </c>
      <c r="Z121" s="1088">
        <v>7000</v>
      </c>
      <c r="AA121" s="1050">
        <f t="shared" si="204"/>
        <v>1.4213197969543147E-3</v>
      </c>
      <c r="AB121" s="1144">
        <f t="shared" si="205"/>
        <v>0</v>
      </c>
      <c r="AC121" s="1136"/>
      <c r="AD121" s="557">
        <v>6273</v>
      </c>
      <c r="AE121" s="748">
        <f t="shared" si="206"/>
        <v>1.3779299682964081E-3</v>
      </c>
      <c r="AF121" s="978">
        <f t="shared" si="207"/>
        <v>5810</v>
      </c>
      <c r="AG121" s="782">
        <f t="shared" si="208"/>
        <v>1.2207523700665636E-3</v>
      </c>
      <c r="AH121" s="1001">
        <f t="shared" si="209"/>
        <v>463</v>
      </c>
      <c r="AI121" s="451">
        <f t="shared" si="210"/>
        <v>7.9690189328743541E-2</v>
      </c>
      <c r="AJ121" s="1088">
        <v>7000</v>
      </c>
      <c r="AK121" s="1050">
        <f t="shared" si="211"/>
        <v>1.3084112149532711E-3</v>
      </c>
      <c r="AL121" s="842">
        <v>7000</v>
      </c>
      <c r="AM121" s="586">
        <f t="shared" si="212"/>
        <v>1.25E-3</v>
      </c>
      <c r="AN121" s="982">
        <v>7000</v>
      </c>
      <c r="AO121" s="782">
        <f t="shared" si="213"/>
        <v>1.25E-3</v>
      </c>
      <c r="AP121" s="450">
        <f t="shared" si="214"/>
        <v>439.66666666666606</v>
      </c>
      <c r="AQ121" s="451">
        <f t="shared" si="215"/>
        <v>6.2809523809523718E-2</v>
      </c>
      <c r="AR121" s="1125">
        <v>7831</v>
      </c>
      <c r="AS121" s="748">
        <f t="shared" si="216"/>
        <v>1.6431379633692071E-3</v>
      </c>
      <c r="AT121" s="902">
        <v>9210</v>
      </c>
      <c r="AU121" s="748">
        <f t="shared" si="217"/>
        <v>1.7150758143584062E-3</v>
      </c>
      <c r="AV121" s="450">
        <f t="shared" si="218"/>
        <v>-1558</v>
      </c>
      <c r="AW121" s="452">
        <f t="shared" si="219"/>
        <v>-0.19895287958115182</v>
      </c>
    </row>
    <row r="122" spans="1:50" ht="18" hidden="1" customHeight="1" x14ac:dyDescent="0.25">
      <c r="A122" s="104">
        <v>16</v>
      </c>
      <c r="B122" s="107" t="s">
        <v>81</v>
      </c>
      <c r="C122" s="78" t="s">
        <v>215</v>
      </c>
      <c r="D122" s="56">
        <v>6212</v>
      </c>
      <c r="E122" s="57">
        <f t="shared" si="193"/>
        <v>1.1800835543229124E-3</v>
      </c>
      <c r="F122" s="167">
        <v>7690</v>
      </c>
      <c r="G122" s="166">
        <f t="shared" si="194"/>
        <v>1.5042656396190314E-3</v>
      </c>
      <c r="H122" s="126">
        <v>21098</v>
      </c>
      <c r="I122" s="57">
        <f t="shared" si="195"/>
        <v>3.8676436539608334E-3</v>
      </c>
      <c r="J122" s="167">
        <v>13631</v>
      </c>
      <c r="K122" s="166">
        <f t="shared" si="196"/>
        <v>2.4393032944642259E-3</v>
      </c>
      <c r="L122" s="306">
        <v>5075</v>
      </c>
      <c r="M122" s="214">
        <f t="shared" si="197"/>
        <v>9.8902735055260817E-4</v>
      </c>
      <c r="N122" s="508">
        <v>6002</v>
      </c>
      <c r="O122" s="509">
        <f t="shared" si="198"/>
        <v>1.1048338598259988E-3</v>
      </c>
      <c r="P122" s="655">
        <v>4987</v>
      </c>
      <c r="Q122" s="356">
        <f t="shared" si="199"/>
        <v>8.5867474134295905E-4</v>
      </c>
      <c r="R122" s="508">
        <v>9835</v>
      </c>
      <c r="S122" s="509">
        <f t="shared" si="200"/>
        <v>1.8593612078077668E-3</v>
      </c>
      <c r="T122" s="355">
        <v>13303</v>
      </c>
      <c r="U122" s="356">
        <f t="shared" si="201"/>
        <v>2.736558095752174E-3</v>
      </c>
      <c r="V122" s="655">
        <v>5573</v>
      </c>
      <c r="W122" s="860">
        <f t="shared" si="202"/>
        <v>1.0343875870519842E-3</v>
      </c>
      <c r="X122" s="655">
        <v>17310</v>
      </c>
      <c r="Y122" s="860">
        <f t="shared" si="203"/>
        <v>3.2156419524798341E-3</v>
      </c>
      <c r="Z122" s="1088">
        <v>28000</v>
      </c>
      <c r="AA122" s="1050">
        <f t="shared" si="204"/>
        <v>5.6852791878172588E-3</v>
      </c>
      <c r="AB122" s="1144">
        <f t="shared" si="205"/>
        <v>0</v>
      </c>
      <c r="AC122" s="1136"/>
      <c r="AD122" s="557">
        <v>28629</v>
      </c>
      <c r="AE122" s="748">
        <f t="shared" si="206"/>
        <v>6.2886588653527607E-3</v>
      </c>
      <c r="AF122" s="978">
        <f t="shared" si="207"/>
        <v>23240</v>
      </c>
      <c r="AG122" s="782">
        <f t="shared" si="208"/>
        <v>4.8830094802662545E-3</v>
      </c>
      <c r="AH122" s="1001">
        <f t="shared" si="209"/>
        <v>5389</v>
      </c>
      <c r="AI122" s="451">
        <f t="shared" si="210"/>
        <v>0.23188468158347678</v>
      </c>
      <c r="AJ122" s="1088">
        <v>28000</v>
      </c>
      <c r="AK122" s="1050">
        <f t="shared" si="211"/>
        <v>5.2336448598130844E-3</v>
      </c>
      <c r="AL122" s="842">
        <v>15000</v>
      </c>
      <c r="AM122" s="586">
        <f t="shared" si="212"/>
        <v>2.6785714285714286E-3</v>
      </c>
      <c r="AN122" s="982">
        <v>15000</v>
      </c>
      <c r="AO122" s="782">
        <f t="shared" si="213"/>
        <v>2.6785714285714286E-3</v>
      </c>
      <c r="AP122" s="450">
        <f t="shared" si="214"/>
        <v>16129</v>
      </c>
      <c r="AQ122" s="451">
        <f t="shared" si="215"/>
        <v>1.0752666666666666</v>
      </c>
      <c r="AR122" s="1125">
        <v>19605</v>
      </c>
      <c r="AS122" s="748">
        <f t="shared" si="216"/>
        <v>4.1136150902634791E-3</v>
      </c>
      <c r="AT122" s="902">
        <v>20230</v>
      </c>
      <c r="AU122" s="748">
        <f t="shared" si="217"/>
        <v>3.7672077876732416E-3</v>
      </c>
      <c r="AV122" s="450">
        <f t="shared" si="218"/>
        <v>9024</v>
      </c>
      <c r="AW122" s="452">
        <f t="shared" si="219"/>
        <v>0.46029074215761284</v>
      </c>
    </row>
    <row r="123" spans="1:50" ht="18" hidden="1" customHeight="1" x14ac:dyDescent="0.25">
      <c r="A123" s="106">
        <v>17</v>
      </c>
      <c r="B123" s="107" t="s">
        <v>82</v>
      </c>
      <c r="C123" s="78" t="s">
        <v>216</v>
      </c>
      <c r="D123" s="56">
        <v>3465</v>
      </c>
      <c r="E123" s="57">
        <f t="shared" si="193"/>
        <v>6.5824042429634441E-4</v>
      </c>
      <c r="F123" s="167">
        <v>3457</v>
      </c>
      <c r="G123" s="166">
        <f t="shared" si="194"/>
        <v>6.7623489156865956E-4</v>
      </c>
      <c r="H123" s="126">
        <v>8895</v>
      </c>
      <c r="I123" s="57">
        <f t="shared" si="195"/>
        <v>1.6306138165694194E-3</v>
      </c>
      <c r="J123" s="167">
        <v>5623</v>
      </c>
      <c r="K123" s="166">
        <f t="shared" si="196"/>
        <v>1.0062506364002892E-3</v>
      </c>
      <c r="L123" s="306">
        <v>3446</v>
      </c>
      <c r="M123" s="214">
        <f t="shared" si="197"/>
        <v>6.7156418719296299E-4</v>
      </c>
      <c r="N123" s="508">
        <v>20894</v>
      </c>
      <c r="O123" s="509">
        <f t="shared" si="198"/>
        <v>3.8461177386211959E-3</v>
      </c>
      <c r="P123" s="655">
        <v>3531</v>
      </c>
      <c r="Q123" s="356">
        <f t="shared" si="199"/>
        <v>6.0797684212592507E-4</v>
      </c>
      <c r="R123" s="508">
        <v>2950</v>
      </c>
      <c r="S123" s="509">
        <f t="shared" si="200"/>
        <v>5.5771383457375824E-4</v>
      </c>
      <c r="T123" s="355">
        <v>5533</v>
      </c>
      <c r="U123" s="356">
        <f t="shared" si="201"/>
        <v>1.1381925839131608E-3</v>
      </c>
      <c r="V123" s="655">
        <v>4346</v>
      </c>
      <c r="W123" s="860">
        <f t="shared" si="202"/>
        <v>8.0664784735832106E-4</v>
      </c>
      <c r="X123" s="655">
        <v>20574</v>
      </c>
      <c r="Y123" s="860">
        <f t="shared" si="203"/>
        <v>3.8219883033113865E-3</v>
      </c>
      <c r="Z123" s="1088">
        <v>14000</v>
      </c>
      <c r="AA123" s="1050">
        <f t="shared" si="204"/>
        <v>2.8426395939086294E-3</v>
      </c>
      <c r="AB123" s="1144">
        <f t="shared" si="205"/>
        <v>0</v>
      </c>
      <c r="AC123" s="1136"/>
      <c r="AD123" s="557">
        <v>11018</v>
      </c>
      <c r="AE123" s="748">
        <f t="shared" si="206"/>
        <v>2.4202187774095048E-3</v>
      </c>
      <c r="AF123" s="978">
        <f t="shared" si="207"/>
        <v>11620</v>
      </c>
      <c r="AG123" s="782">
        <f t="shared" si="208"/>
        <v>2.4415047401331273E-3</v>
      </c>
      <c r="AH123" s="1001">
        <f t="shared" si="209"/>
        <v>-602</v>
      </c>
      <c r="AI123" s="451">
        <f t="shared" si="210"/>
        <v>-5.1807228915662654E-2</v>
      </c>
      <c r="AJ123" s="1088">
        <v>14000</v>
      </c>
      <c r="AK123" s="1050">
        <f t="shared" si="211"/>
        <v>2.6168224299065422E-3</v>
      </c>
      <c r="AL123" s="842">
        <v>15000</v>
      </c>
      <c r="AM123" s="586">
        <f t="shared" si="212"/>
        <v>2.6785714285714286E-3</v>
      </c>
      <c r="AN123" s="982">
        <v>15000</v>
      </c>
      <c r="AO123" s="782">
        <f t="shared" si="213"/>
        <v>2.6785714285714286E-3</v>
      </c>
      <c r="AP123" s="450">
        <f t="shared" si="214"/>
        <v>-1482</v>
      </c>
      <c r="AQ123" s="451">
        <f t="shared" si="215"/>
        <v>-9.8799999999999999E-2</v>
      </c>
      <c r="AR123" s="1125">
        <v>9004</v>
      </c>
      <c r="AS123" s="748">
        <f t="shared" si="216"/>
        <v>1.8892624469641604E-3</v>
      </c>
      <c r="AT123" s="902">
        <v>9752</v>
      </c>
      <c r="AU123" s="748">
        <f t="shared" si="217"/>
        <v>1.8160064431729833E-3</v>
      </c>
      <c r="AV123" s="450">
        <f t="shared" si="218"/>
        <v>2014</v>
      </c>
      <c r="AW123" s="452">
        <f t="shared" si="219"/>
        <v>0.22367836517103509</v>
      </c>
    </row>
    <row r="124" spans="1:50" ht="18" hidden="1" customHeight="1" x14ac:dyDescent="0.25">
      <c r="A124" s="104">
        <v>18</v>
      </c>
      <c r="B124" s="107" t="s">
        <v>83</v>
      </c>
      <c r="C124" s="78" t="s">
        <v>217</v>
      </c>
      <c r="D124" s="56">
        <v>184475</v>
      </c>
      <c r="E124" s="57">
        <f t="shared" si="193"/>
        <v>3.5044416240135101E-2</v>
      </c>
      <c r="F124" s="167">
        <v>147098</v>
      </c>
      <c r="G124" s="166">
        <f t="shared" si="194"/>
        <v>2.877431301127182E-2</v>
      </c>
      <c r="H124" s="126">
        <v>196958</v>
      </c>
      <c r="I124" s="57">
        <f t="shared" si="195"/>
        <v>3.6105951217974115E-2</v>
      </c>
      <c r="J124" s="167">
        <v>160712</v>
      </c>
      <c r="K124" s="166">
        <f t="shared" si="196"/>
        <v>2.8759835012833589E-2</v>
      </c>
      <c r="L124" s="306">
        <v>93853</v>
      </c>
      <c r="M124" s="214">
        <f t="shared" si="197"/>
        <v>1.8290282548061858E-2</v>
      </c>
      <c r="N124" s="508">
        <v>130989</v>
      </c>
      <c r="O124" s="509">
        <f t="shared" si="198"/>
        <v>2.4112143029781364E-2</v>
      </c>
      <c r="P124" s="655">
        <v>117848</v>
      </c>
      <c r="Q124" s="356">
        <f t="shared" si="199"/>
        <v>2.029137776574795E-2</v>
      </c>
      <c r="R124" s="508">
        <v>101105</v>
      </c>
      <c r="S124" s="509">
        <f t="shared" si="200"/>
        <v>1.9114460082908416E-2</v>
      </c>
      <c r="T124" s="355">
        <v>138715</v>
      </c>
      <c r="U124" s="356">
        <f t="shared" si="201"/>
        <v>2.8535041438191598E-2</v>
      </c>
      <c r="V124" s="655">
        <v>114394</v>
      </c>
      <c r="W124" s="860">
        <f t="shared" si="202"/>
        <v>2.1232322561138467E-2</v>
      </c>
      <c r="X124" s="655">
        <v>139188</v>
      </c>
      <c r="Y124" s="860">
        <f t="shared" si="203"/>
        <v>2.5856659276820515E-2</v>
      </c>
      <c r="Z124" s="1088">
        <v>110000</v>
      </c>
      <c r="AA124" s="1050">
        <f t="shared" si="204"/>
        <v>2.2335025380710659E-2</v>
      </c>
      <c r="AB124" s="1144">
        <f t="shared" si="205"/>
        <v>-36000</v>
      </c>
      <c r="AC124" s="1136"/>
      <c r="AD124" s="557">
        <f>143765+8250</f>
        <v>152015</v>
      </c>
      <c r="AE124" s="748">
        <f t="shared" si="206"/>
        <v>3.3391682469405146E-2</v>
      </c>
      <c r="AF124" s="978">
        <v>146000</v>
      </c>
      <c r="AG124" s="782">
        <f t="shared" si="208"/>
        <v>3.0676393464667519E-2</v>
      </c>
      <c r="AH124" s="1001">
        <f t="shared" si="209"/>
        <v>6015</v>
      </c>
      <c r="AI124" s="451">
        <f t="shared" si="210"/>
        <v>4.1198630136986304E-2</v>
      </c>
      <c r="AJ124" s="1088">
        <v>146000</v>
      </c>
      <c r="AK124" s="1050">
        <f t="shared" si="211"/>
        <v>2.7289719626168225E-2</v>
      </c>
      <c r="AL124" s="842">
        <v>146000</v>
      </c>
      <c r="AM124" s="586">
        <f t="shared" si="212"/>
        <v>2.6071428571428572E-2</v>
      </c>
      <c r="AN124" s="982">
        <v>146000</v>
      </c>
      <c r="AO124" s="782">
        <f t="shared" si="213"/>
        <v>2.6071428571428572E-2</v>
      </c>
      <c r="AP124" s="450">
        <f t="shared" si="214"/>
        <v>30348.333333333343</v>
      </c>
      <c r="AQ124" s="451">
        <f t="shared" si="215"/>
        <v>0.20786529680365304</v>
      </c>
      <c r="AR124" s="1125">
        <v>153479</v>
      </c>
      <c r="AS124" s="748">
        <f t="shared" si="216"/>
        <v>3.2203699588806353E-2</v>
      </c>
      <c r="AT124" s="902">
        <v>153479</v>
      </c>
      <c r="AU124" s="748">
        <f t="shared" si="217"/>
        <v>2.8580686309654053E-2</v>
      </c>
      <c r="AV124" s="450">
        <f t="shared" si="218"/>
        <v>-1464</v>
      </c>
      <c r="AW124" s="452">
        <f t="shared" si="219"/>
        <v>-9.5387642609086592E-3</v>
      </c>
    </row>
    <row r="125" spans="1:50" ht="18" hidden="1" customHeight="1" x14ac:dyDescent="0.25">
      <c r="A125" s="104">
        <v>19</v>
      </c>
      <c r="B125" s="107" t="s">
        <v>292</v>
      </c>
      <c r="C125" s="78" t="s">
        <v>307</v>
      </c>
      <c r="D125" s="56">
        <v>6129</v>
      </c>
      <c r="E125" s="57">
        <f t="shared" si="193"/>
        <v>1.1643161790800274E-3</v>
      </c>
      <c r="F125" s="167">
        <v>6667</v>
      </c>
      <c r="G125" s="166">
        <f t="shared" si="194"/>
        <v>1.3041533185097637E-3</v>
      </c>
      <c r="H125" s="126">
        <v>5914</v>
      </c>
      <c r="I125" s="57">
        <f t="shared" si="195"/>
        <v>1.0841427893413769E-3</v>
      </c>
      <c r="J125" s="167">
        <v>10021</v>
      </c>
      <c r="K125" s="166">
        <f t="shared" si="196"/>
        <v>1.7932843015058327E-3</v>
      </c>
      <c r="L125" s="306">
        <v>4032</v>
      </c>
      <c r="M125" s="214">
        <f t="shared" si="197"/>
        <v>7.8576517781834795E-4</v>
      </c>
      <c r="N125" s="508">
        <v>4906</v>
      </c>
      <c r="O125" s="509">
        <f t="shared" si="198"/>
        <v>9.0308479112068477E-4</v>
      </c>
      <c r="P125" s="655">
        <v>3136</v>
      </c>
      <c r="Q125" s="356">
        <f t="shared" si="199"/>
        <v>5.3996470600591929E-4</v>
      </c>
      <c r="R125" s="508">
        <v>2608</v>
      </c>
      <c r="S125" s="509">
        <f t="shared" si="200"/>
        <v>4.9305684087063101E-4</v>
      </c>
      <c r="T125" s="355">
        <v>1896</v>
      </c>
      <c r="U125" s="356">
        <f t="shared" si="201"/>
        <v>3.9002587007036922E-4</v>
      </c>
      <c r="V125" s="655">
        <v>1860</v>
      </c>
      <c r="W125" s="860">
        <f t="shared" si="202"/>
        <v>3.4522894525689765E-4</v>
      </c>
      <c r="X125" s="655">
        <v>1780</v>
      </c>
      <c r="Y125" s="860">
        <f t="shared" si="203"/>
        <v>3.3066682122554039E-4</v>
      </c>
      <c r="Z125" s="1088">
        <v>2500</v>
      </c>
      <c r="AA125" s="1050">
        <f t="shared" si="204"/>
        <v>5.0761421319796957E-4</v>
      </c>
      <c r="AB125" s="1144">
        <f t="shared" si="205"/>
        <v>-500</v>
      </c>
      <c r="AC125" s="1136"/>
      <c r="AD125" s="557">
        <v>1856</v>
      </c>
      <c r="AE125" s="748">
        <f t="shared" si="206"/>
        <v>4.0768978497658751E-4</v>
      </c>
      <c r="AF125" s="978">
        <f t="shared" si="207"/>
        <v>2490</v>
      </c>
      <c r="AG125" s="782">
        <f t="shared" si="208"/>
        <v>5.2317958717138435E-4</v>
      </c>
      <c r="AH125" s="1001">
        <f t="shared" si="209"/>
        <v>-634</v>
      </c>
      <c r="AI125" s="451">
        <f t="shared" si="210"/>
        <v>-0.25461847389558234</v>
      </c>
      <c r="AJ125" s="1088">
        <v>3000</v>
      </c>
      <c r="AK125" s="1050">
        <f t="shared" si="211"/>
        <v>5.6074766355140187E-4</v>
      </c>
      <c r="AL125" s="842">
        <v>3000</v>
      </c>
      <c r="AM125" s="586">
        <f t="shared" si="212"/>
        <v>5.3571428571428574E-4</v>
      </c>
      <c r="AN125" s="982">
        <v>3000</v>
      </c>
      <c r="AO125" s="782">
        <f t="shared" si="213"/>
        <v>5.3571428571428574E-4</v>
      </c>
      <c r="AP125" s="450">
        <f t="shared" si="214"/>
        <v>-644</v>
      </c>
      <c r="AQ125" s="451">
        <f t="shared" si="215"/>
        <v>-0.21466666666666667</v>
      </c>
      <c r="AR125" s="1125">
        <v>1752</v>
      </c>
      <c r="AS125" s="748">
        <f t="shared" si="216"/>
        <v>3.676130394359406E-4</v>
      </c>
      <c r="AT125" s="902">
        <v>2328</v>
      </c>
      <c r="AU125" s="748">
        <f t="shared" si="217"/>
        <v>4.3351753483456782E-4</v>
      </c>
      <c r="AV125" s="450">
        <f t="shared" si="218"/>
        <v>104</v>
      </c>
      <c r="AW125" s="452">
        <f t="shared" si="219"/>
        <v>5.9360730593607303E-2</v>
      </c>
    </row>
    <row r="126" spans="1:50" ht="18" hidden="1" customHeight="1" x14ac:dyDescent="0.25">
      <c r="A126" s="106">
        <v>20</v>
      </c>
      <c r="B126" s="107" t="s">
        <v>84</v>
      </c>
      <c r="C126" s="78" t="s">
        <v>282</v>
      </c>
      <c r="D126" s="56">
        <v>16016</v>
      </c>
      <c r="E126" s="57">
        <f t="shared" si="193"/>
        <v>3.0425335167475476E-3</v>
      </c>
      <c r="F126" s="167">
        <v>16359</v>
      </c>
      <c r="G126" s="166">
        <f t="shared" si="194"/>
        <v>3.200036618794244E-3</v>
      </c>
      <c r="H126" s="126">
        <v>16831</v>
      </c>
      <c r="I126" s="57">
        <f t="shared" si="195"/>
        <v>3.0854256488678919E-3</v>
      </c>
      <c r="J126" s="167">
        <v>16347</v>
      </c>
      <c r="K126" s="166">
        <f t="shared" si="196"/>
        <v>2.9253386365348617E-3</v>
      </c>
      <c r="L126" s="306">
        <v>16044</v>
      </c>
      <c r="M126" s="214">
        <f t="shared" si="197"/>
        <v>3.126690603402176E-3</v>
      </c>
      <c r="N126" s="508">
        <f>16892+7</f>
        <v>16899</v>
      </c>
      <c r="O126" s="509">
        <f t="shared" si="198"/>
        <v>3.1107276569809321E-3</v>
      </c>
      <c r="P126" s="655">
        <f>17694+60</f>
        <v>17754</v>
      </c>
      <c r="Q126" s="356">
        <f t="shared" si="199"/>
        <v>3.0569302903153991E-3</v>
      </c>
      <c r="R126" s="508">
        <v>14324</v>
      </c>
      <c r="S126" s="509">
        <f t="shared" si="200"/>
        <v>2.7080315140455974E-3</v>
      </c>
      <c r="T126" s="355">
        <v>13864</v>
      </c>
      <c r="U126" s="356">
        <f t="shared" si="201"/>
        <v>2.8519613199660333E-3</v>
      </c>
      <c r="V126" s="655">
        <v>15326</v>
      </c>
      <c r="W126" s="860">
        <f t="shared" si="202"/>
        <v>2.8446122661329107E-3</v>
      </c>
      <c r="X126" s="655">
        <v>17900</v>
      </c>
      <c r="Y126" s="860">
        <f t="shared" si="203"/>
        <v>3.3252449999647041E-3</v>
      </c>
      <c r="Z126" s="1088">
        <v>14000</v>
      </c>
      <c r="AA126" s="1050">
        <f t="shared" si="204"/>
        <v>2.8426395939086294E-3</v>
      </c>
      <c r="AB126" s="1144">
        <f t="shared" si="205"/>
        <v>0</v>
      </c>
      <c r="AC126" s="1136"/>
      <c r="AD126" s="557">
        <v>18134</v>
      </c>
      <c r="AE126" s="748">
        <f t="shared" si="206"/>
        <v>3.9833225004124121E-3</v>
      </c>
      <c r="AF126" s="978">
        <f t="shared" si="207"/>
        <v>11620</v>
      </c>
      <c r="AG126" s="782">
        <f t="shared" si="208"/>
        <v>2.4415047401331273E-3</v>
      </c>
      <c r="AH126" s="1001">
        <f t="shared" si="209"/>
        <v>6514</v>
      </c>
      <c r="AI126" s="451">
        <f t="shared" si="210"/>
        <v>0.56058519793459549</v>
      </c>
      <c r="AJ126" s="1088">
        <v>14000</v>
      </c>
      <c r="AK126" s="1050">
        <f t="shared" si="211"/>
        <v>2.6168224299065422E-3</v>
      </c>
      <c r="AL126" s="842">
        <v>14000</v>
      </c>
      <c r="AM126" s="586">
        <f t="shared" si="212"/>
        <v>2.5000000000000001E-3</v>
      </c>
      <c r="AN126" s="982">
        <v>14000</v>
      </c>
      <c r="AO126" s="782">
        <f t="shared" si="213"/>
        <v>2.5000000000000001E-3</v>
      </c>
      <c r="AP126" s="450">
        <f t="shared" si="214"/>
        <v>6467.3333333333321</v>
      </c>
      <c r="AQ126" s="451">
        <f t="shared" si="215"/>
        <v>0.46195238095238089</v>
      </c>
      <c r="AR126" s="1125">
        <v>11580</v>
      </c>
      <c r="AS126" s="748">
        <f t="shared" si="216"/>
        <v>2.4297711168197443E-3</v>
      </c>
      <c r="AT126" s="902">
        <v>12330</v>
      </c>
      <c r="AU126" s="748">
        <f t="shared" si="217"/>
        <v>2.2960786960954556E-3</v>
      </c>
      <c r="AV126" s="450">
        <f t="shared" si="218"/>
        <v>6554</v>
      </c>
      <c r="AW126" s="452">
        <f t="shared" si="219"/>
        <v>0.56597582037996541</v>
      </c>
    </row>
    <row r="127" spans="1:50" ht="18" hidden="1" customHeight="1" x14ac:dyDescent="0.25">
      <c r="A127" s="104">
        <v>21</v>
      </c>
      <c r="B127" s="107" t="s">
        <v>85</v>
      </c>
      <c r="C127" s="78" t="s">
        <v>218</v>
      </c>
      <c r="D127" s="56">
        <f>15297+448</f>
        <v>15745</v>
      </c>
      <c r="E127" s="57">
        <f t="shared" si="193"/>
        <v>2.9910520867376458E-3</v>
      </c>
      <c r="F127" s="167">
        <f>16019+214</f>
        <v>16233</v>
      </c>
      <c r="G127" s="166">
        <f t="shared" si="194"/>
        <v>3.1753893534376774E-3</v>
      </c>
      <c r="H127" s="126">
        <f>16511+54</f>
        <v>16565</v>
      </c>
      <c r="I127" s="57">
        <f t="shared" si="195"/>
        <v>3.0366630546905492E-3</v>
      </c>
      <c r="J127" s="167">
        <f>16838+28</f>
        <v>16866</v>
      </c>
      <c r="K127" s="166">
        <f t="shared" si="196"/>
        <v>3.0182150513119823E-3</v>
      </c>
      <c r="L127" s="306">
        <f>18006+60</f>
        <v>18066</v>
      </c>
      <c r="M127" s="214">
        <f t="shared" si="197"/>
        <v>3.5207424857307225E-3</v>
      </c>
      <c r="N127" s="508">
        <v>16234</v>
      </c>
      <c r="O127" s="509">
        <f t="shared" si="198"/>
        <v>2.9883160413887479E-3</v>
      </c>
      <c r="P127" s="655">
        <v>15499</v>
      </c>
      <c r="Q127" s="356">
        <f t="shared" si="199"/>
        <v>2.6686584752505559E-3</v>
      </c>
      <c r="R127" s="508">
        <v>18489</v>
      </c>
      <c r="S127" s="509">
        <f t="shared" si="200"/>
        <v>3.4954478262488866E-3</v>
      </c>
      <c r="T127" s="355">
        <f>15884+25</f>
        <v>15909</v>
      </c>
      <c r="U127" s="356">
        <f t="shared" si="201"/>
        <v>3.2726379572518482E-3</v>
      </c>
      <c r="V127" s="655">
        <v>16776</v>
      </c>
      <c r="W127" s="860">
        <f t="shared" si="202"/>
        <v>3.1137423578654383E-3</v>
      </c>
      <c r="X127" s="655">
        <v>13759</v>
      </c>
      <c r="Y127" s="860">
        <f t="shared" si="203"/>
        <v>2.5559802209225903E-3</v>
      </c>
      <c r="Z127" s="1088">
        <v>16000</v>
      </c>
      <c r="AA127" s="1050">
        <f t="shared" si="204"/>
        <v>3.248730964467005E-3</v>
      </c>
      <c r="AB127" s="1144">
        <f t="shared" si="205"/>
        <v>0</v>
      </c>
      <c r="AC127" s="1136"/>
      <c r="AD127" s="557">
        <v>12555</v>
      </c>
      <c r="AE127" s="748">
        <f t="shared" si="206"/>
        <v>2.7578368805932412E-3</v>
      </c>
      <c r="AF127" s="978">
        <f t="shared" si="207"/>
        <v>13280</v>
      </c>
      <c r="AG127" s="782">
        <f t="shared" si="208"/>
        <v>2.7902911315807167E-3</v>
      </c>
      <c r="AH127" s="1001">
        <f t="shared" si="209"/>
        <v>-725</v>
      </c>
      <c r="AI127" s="451">
        <f t="shared" si="210"/>
        <v>-5.4593373493975902E-2</v>
      </c>
      <c r="AJ127" s="1088">
        <v>16000</v>
      </c>
      <c r="AK127" s="1050">
        <f t="shared" si="211"/>
        <v>2.9906542056074765E-3</v>
      </c>
      <c r="AL127" s="842">
        <v>16000</v>
      </c>
      <c r="AM127" s="586">
        <f t="shared" si="212"/>
        <v>2.8571428571428571E-3</v>
      </c>
      <c r="AN127" s="982">
        <v>16000</v>
      </c>
      <c r="AO127" s="782">
        <f t="shared" si="213"/>
        <v>2.8571428571428571E-3</v>
      </c>
      <c r="AP127" s="450">
        <f t="shared" si="214"/>
        <v>-778.33333333333212</v>
      </c>
      <c r="AQ127" s="451">
        <f t="shared" si="215"/>
        <v>-4.8645833333333256E-2</v>
      </c>
      <c r="AR127" s="1125">
        <v>10357</v>
      </c>
      <c r="AS127" s="748">
        <f t="shared" si="216"/>
        <v>2.1731553935148613E-3</v>
      </c>
      <c r="AT127" s="902">
        <v>14606</v>
      </c>
      <c r="AU127" s="748">
        <f t="shared" si="217"/>
        <v>2.7199128495677396E-3</v>
      </c>
      <c r="AV127" s="450">
        <f t="shared" si="218"/>
        <v>2198</v>
      </c>
      <c r="AW127" s="452">
        <f t="shared" si="219"/>
        <v>0.21222361687747418</v>
      </c>
    </row>
    <row r="128" spans="1:50" ht="18" hidden="1" customHeight="1" x14ac:dyDescent="0.25">
      <c r="A128" s="104">
        <v>22</v>
      </c>
      <c r="B128" s="107" t="s">
        <v>86</v>
      </c>
      <c r="C128" s="78" t="s">
        <v>219</v>
      </c>
      <c r="D128" s="56">
        <v>6984</v>
      </c>
      <c r="E128" s="57">
        <f t="shared" si="193"/>
        <v>1.3267391409193851E-3</v>
      </c>
      <c r="F128" s="167">
        <v>5390</v>
      </c>
      <c r="G128" s="166">
        <f t="shared" si="194"/>
        <v>1.0543552402531313E-3</v>
      </c>
      <c r="H128" s="126">
        <v>5772</v>
      </c>
      <c r="I128" s="57">
        <f t="shared" si="195"/>
        <v>1.0581116300436976E-3</v>
      </c>
      <c r="J128" s="167">
        <v>6197</v>
      </c>
      <c r="K128" s="166">
        <f t="shared" si="196"/>
        <v>1.1089694458069699E-3</v>
      </c>
      <c r="L128" s="306">
        <v>6409</v>
      </c>
      <c r="M128" s="214">
        <f t="shared" si="197"/>
        <v>1.2490002541264366E-3</v>
      </c>
      <c r="N128" s="508">
        <v>5585</v>
      </c>
      <c r="O128" s="509">
        <f t="shared" si="198"/>
        <v>1.028073493356915E-3</v>
      </c>
      <c r="P128" s="655">
        <v>5254</v>
      </c>
      <c r="Q128" s="356">
        <f t="shared" si="199"/>
        <v>9.0464750170762115E-4</v>
      </c>
      <c r="R128" s="508">
        <v>5697</v>
      </c>
      <c r="S128" s="509">
        <f t="shared" si="200"/>
        <v>1.0770493951073562E-3</v>
      </c>
      <c r="T128" s="355">
        <v>4830</v>
      </c>
      <c r="U128" s="356">
        <f t="shared" si="201"/>
        <v>9.9357856141344065E-4</v>
      </c>
      <c r="V128" s="655">
        <v>5646</v>
      </c>
      <c r="W128" s="860">
        <f t="shared" si="202"/>
        <v>1.0479368951185183E-3</v>
      </c>
      <c r="X128" s="655">
        <v>5619</v>
      </c>
      <c r="Y128" s="860">
        <f t="shared" si="203"/>
        <v>1.0438297013855684E-3</v>
      </c>
      <c r="Z128" s="1088">
        <v>5500</v>
      </c>
      <c r="AA128" s="1050">
        <f t="shared" si="204"/>
        <v>1.116751269035533E-3</v>
      </c>
      <c r="AB128" s="1144">
        <f t="shared" si="205"/>
        <v>0</v>
      </c>
      <c r="AC128" s="1136"/>
      <c r="AD128" s="557">
        <v>4475</v>
      </c>
      <c r="AE128" s="748">
        <f t="shared" si="206"/>
        <v>9.8298048910033884E-4</v>
      </c>
      <c r="AF128" s="978">
        <f t="shared" si="207"/>
        <v>4565</v>
      </c>
      <c r="AG128" s="782">
        <f t="shared" si="208"/>
        <v>9.5916257648087134E-4</v>
      </c>
      <c r="AH128" s="1001">
        <f t="shared" si="209"/>
        <v>-90</v>
      </c>
      <c r="AI128" s="451">
        <f t="shared" si="210"/>
        <v>-1.9715224534501644E-2</v>
      </c>
      <c r="AJ128" s="1088">
        <v>5500</v>
      </c>
      <c r="AK128" s="1050">
        <f t="shared" si="211"/>
        <v>1.0280373831775701E-3</v>
      </c>
      <c r="AL128" s="842">
        <v>5500</v>
      </c>
      <c r="AM128" s="586">
        <f t="shared" si="212"/>
        <v>9.8214285714285721E-4</v>
      </c>
      <c r="AN128" s="982">
        <v>5500</v>
      </c>
      <c r="AO128" s="782">
        <f t="shared" si="213"/>
        <v>9.8214285714285721E-4</v>
      </c>
      <c r="AP128" s="450">
        <f t="shared" si="214"/>
        <v>-108.33333333333303</v>
      </c>
      <c r="AQ128" s="451">
        <f t="shared" si="215"/>
        <v>-1.9696969696969643E-2</v>
      </c>
      <c r="AR128" s="1125">
        <v>5352</v>
      </c>
      <c r="AS128" s="748">
        <f t="shared" si="216"/>
        <v>1.1229822985508869E-3</v>
      </c>
      <c r="AT128" s="902">
        <v>5352</v>
      </c>
      <c r="AU128" s="748">
        <f t="shared" si="217"/>
        <v>9.9664340482586203E-4</v>
      </c>
      <c r="AV128" s="450">
        <f t="shared" si="218"/>
        <v>-877</v>
      </c>
      <c r="AW128" s="452">
        <f t="shared" si="219"/>
        <v>-0.16386397608370704</v>
      </c>
    </row>
    <row r="129" spans="1:49" ht="18" hidden="1" customHeight="1" x14ac:dyDescent="0.25">
      <c r="A129" s="106">
        <v>23</v>
      </c>
      <c r="B129" s="107" t="s">
        <v>87</v>
      </c>
      <c r="C129" s="78" t="s">
        <v>283</v>
      </c>
      <c r="D129" s="56">
        <v>2282</v>
      </c>
      <c r="E129" s="57">
        <f t="shared" si="193"/>
        <v>4.335078349911278E-4</v>
      </c>
      <c r="F129" s="167">
        <v>1099</v>
      </c>
      <c r="G129" s="166">
        <f t="shared" si="194"/>
        <v>2.1497892561005404E-4</v>
      </c>
      <c r="H129" s="126">
        <v>1160</v>
      </c>
      <c r="I129" s="57">
        <f t="shared" si="195"/>
        <v>2.1264890693878884E-4</v>
      </c>
      <c r="J129" s="167">
        <v>2094</v>
      </c>
      <c r="K129" s="166">
        <f t="shared" si="196"/>
        <v>3.7472680644179358E-4</v>
      </c>
      <c r="L129" s="306">
        <v>822</v>
      </c>
      <c r="M129" s="214">
        <f t="shared" si="197"/>
        <v>1.6019319845403819E-4</v>
      </c>
      <c r="N129" s="508">
        <v>764</v>
      </c>
      <c r="O129" s="509">
        <f t="shared" si="198"/>
        <v>1.4063529971793787E-4</v>
      </c>
      <c r="P129" s="655">
        <v>828</v>
      </c>
      <c r="Q129" s="356">
        <f t="shared" si="199"/>
        <v>1.425672119173792E-4</v>
      </c>
      <c r="R129" s="508">
        <v>1041</v>
      </c>
      <c r="S129" s="509">
        <f t="shared" si="200"/>
        <v>1.9680681416653638E-4</v>
      </c>
      <c r="T129" s="355">
        <v>2989</v>
      </c>
      <c r="U129" s="356">
        <f t="shared" si="201"/>
        <v>6.1486673293266545E-4</v>
      </c>
      <c r="V129" s="655">
        <v>1021</v>
      </c>
      <c r="W129" s="860">
        <f t="shared" si="202"/>
        <v>1.8950470597166265E-4</v>
      </c>
      <c r="X129" s="655">
        <v>1198</v>
      </c>
      <c r="Y129" s="860">
        <f t="shared" si="203"/>
        <v>2.2254991675741429E-4</v>
      </c>
      <c r="Z129" s="1088">
        <v>1000</v>
      </c>
      <c r="AA129" s="1050">
        <f t="shared" si="204"/>
        <v>2.0304568527918781E-4</v>
      </c>
      <c r="AB129" s="1144">
        <f t="shared" si="205"/>
        <v>0</v>
      </c>
      <c r="AC129" s="1136"/>
      <c r="AD129" s="557">
        <v>620</v>
      </c>
      <c r="AE129" s="748">
        <f t="shared" si="206"/>
        <v>1.3618947558485141E-4</v>
      </c>
      <c r="AF129" s="978">
        <f t="shared" si="207"/>
        <v>830</v>
      </c>
      <c r="AG129" s="782">
        <f t="shared" si="208"/>
        <v>1.7439319572379479E-4</v>
      </c>
      <c r="AH129" s="1001">
        <f t="shared" si="209"/>
        <v>-210</v>
      </c>
      <c r="AI129" s="451">
        <f t="shared" si="210"/>
        <v>-0.25301204819277107</v>
      </c>
      <c r="AJ129" s="1088">
        <v>1000</v>
      </c>
      <c r="AK129" s="1050">
        <f t="shared" si="211"/>
        <v>1.8691588785046728E-4</v>
      </c>
      <c r="AL129" s="842">
        <v>1500</v>
      </c>
      <c r="AM129" s="586">
        <f t="shared" si="212"/>
        <v>2.6785714285714287E-4</v>
      </c>
      <c r="AN129" s="982">
        <v>1500</v>
      </c>
      <c r="AO129" s="782">
        <f t="shared" si="213"/>
        <v>2.6785714285714287E-4</v>
      </c>
      <c r="AP129" s="450">
        <f t="shared" si="214"/>
        <v>-630</v>
      </c>
      <c r="AQ129" s="451">
        <f t="shared" si="215"/>
        <v>-0.42</v>
      </c>
      <c r="AR129" s="1125">
        <v>795</v>
      </c>
      <c r="AS129" s="748">
        <f t="shared" si="216"/>
        <v>1.66810711387884E-4</v>
      </c>
      <c r="AT129" s="902">
        <v>965</v>
      </c>
      <c r="AU129" s="748">
        <f t="shared" si="217"/>
        <v>1.7970121181931184E-4</v>
      </c>
      <c r="AV129" s="450">
        <f t="shared" si="218"/>
        <v>-175</v>
      </c>
      <c r="AW129" s="452">
        <f t="shared" si="219"/>
        <v>-0.22012578616352202</v>
      </c>
    </row>
    <row r="130" spans="1:49" ht="18" hidden="1" customHeight="1" x14ac:dyDescent="0.25">
      <c r="A130" s="104">
        <v>24</v>
      </c>
      <c r="B130" s="107" t="s">
        <v>88</v>
      </c>
      <c r="C130" s="78" t="s">
        <v>220</v>
      </c>
      <c r="D130" s="56">
        <v>6499</v>
      </c>
      <c r="E130" s="57">
        <f t="shared" si="193"/>
        <v>1.2346044783555388E-3</v>
      </c>
      <c r="F130" s="167">
        <v>7942</v>
      </c>
      <c r="G130" s="166">
        <f t="shared" si="194"/>
        <v>1.5535601703321649E-3</v>
      </c>
      <c r="H130" s="126">
        <v>8457</v>
      </c>
      <c r="I130" s="57">
        <f t="shared" si="195"/>
        <v>1.5503205223977045E-3</v>
      </c>
      <c r="J130" s="167">
        <v>7542</v>
      </c>
      <c r="K130" s="166">
        <f t="shared" si="196"/>
        <v>1.3496607326571191E-3</v>
      </c>
      <c r="L130" s="306">
        <v>8205</v>
      </c>
      <c r="M130" s="214">
        <f t="shared" si="197"/>
        <v>1.5990087509919506E-3</v>
      </c>
      <c r="N130" s="508">
        <v>8211</v>
      </c>
      <c r="O130" s="509">
        <f t="shared" si="198"/>
        <v>1.5114613167329684E-3</v>
      </c>
      <c r="P130" s="655">
        <v>6817</v>
      </c>
      <c r="Q130" s="356">
        <f t="shared" si="199"/>
        <v>1.1737689415951377E-3</v>
      </c>
      <c r="R130" s="508">
        <v>8293</v>
      </c>
      <c r="S130" s="509">
        <f t="shared" si="200"/>
        <v>1.5678375695322635E-3</v>
      </c>
      <c r="T130" s="355">
        <v>3650</v>
      </c>
      <c r="U130" s="356">
        <f t="shared" si="201"/>
        <v>7.5084094185487742E-4</v>
      </c>
      <c r="V130" s="655">
        <v>4979</v>
      </c>
      <c r="W130" s="860">
        <f t="shared" si="202"/>
        <v>9.241370529215556E-4</v>
      </c>
      <c r="X130" s="655">
        <v>7893</v>
      </c>
      <c r="Y130" s="860">
        <f t="shared" si="203"/>
        <v>1.4662658538950508E-3</v>
      </c>
      <c r="Z130" s="1088">
        <v>6000</v>
      </c>
      <c r="AA130" s="1050">
        <f t="shared" si="204"/>
        <v>1.2182741116751269E-3</v>
      </c>
      <c r="AB130" s="1144">
        <f t="shared" si="205"/>
        <v>-1000</v>
      </c>
      <c r="AC130" s="1136"/>
      <c r="AD130" s="557">
        <v>4106</v>
      </c>
      <c r="AE130" s="748">
        <f t="shared" ref="AE130:AE146" si="220">AD130/AD$11</f>
        <v>9.0192578508290313E-4</v>
      </c>
      <c r="AF130" s="978">
        <f t="shared" si="207"/>
        <v>5810</v>
      </c>
      <c r="AG130" s="782">
        <f t="shared" si="208"/>
        <v>1.2207523700665636E-3</v>
      </c>
      <c r="AH130" s="1001">
        <f t="shared" si="209"/>
        <v>-1704</v>
      </c>
      <c r="AI130" s="451">
        <f t="shared" si="210"/>
        <v>-0.29328743545611013</v>
      </c>
      <c r="AJ130" s="1088">
        <v>7000</v>
      </c>
      <c r="AK130" s="1050">
        <f t="shared" si="211"/>
        <v>1.3084112149532711E-3</v>
      </c>
      <c r="AL130" s="842">
        <v>8200</v>
      </c>
      <c r="AM130" s="586">
        <f t="shared" si="212"/>
        <v>1.4642857142857142E-3</v>
      </c>
      <c r="AN130" s="982">
        <v>8200</v>
      </c>
      <c r="AO130" s="782">
        <f t="shared" si="213"/>
        <v>1.4642857142857142E-3</v>
      </c>
      <c r="AP130" s="450">
        <f t="shared" si="214"/>
        <v>-2727.3333333333339</v>
      </c>
      <c r="AQ130" s="451">
        <f t="shared" si="215"/>
        <v>-0.33260162601626025</v>
      </c>
      <c r="AR130" s="1125">
        <v>4201</v>
      </c>
      <c r="AS130" s="748">
        <f t="shared" si="216"/>
        <v>8.8147396042830277E-4</v>
      </c>
      <c r="AT130" s="902">
        <v>5032</v>
      </c>
      <c r="AU130" s="748">
        <f t="shared" si="217"/>
        <v>9.3705336567334412E-4</v>
      </c>
      <c r="AV130" s="450">
        <f t="shared" si="218"/>
        <v>-95</v>
      </c>
      <c r="AW130" s="452">
        <f t="shared" si="219"/>
        <v>-2.2613663413472984E-2</v>
      </c>
    </row>
    <row r="131" spans="1:49" ht="18" hidden="1" customHeight="1" x14ac:dyDescent="0.25">
      <c r="A131" s="104">
        <v>25</v>
      </c>
      <c r="B131" s="107" t="s">
        <v>89</v>
      </c>
      <c r="C131" s="78" t="s">
        <v>221</v>
      </c>
      <c r="D131" s="56">
        <v>8823</v>
      </c>
      <c r="E131" s="57">
        <f t="shared" ref="E131:E146" si="221">D131/D$11</f>
        <v>1.6760909851563195E-3</v>
      </c>
      <c r="F131" s="167">
        <v>9374</v>
      </c>
      <c r="G131" s="166">
        <f t="shared" ref="G131:G146" si="222">F131/F$11</f>
        <v>1.8336782972417167E-3</v>
      </c>
      <c r="H131" s="126">
        <v>9996</v>
      </c>
      <c r="I131" s="57">
        <f t="shared" ref="I131:I146" si="223">H131/H$11</f>
        <v>1.8324469601380458E-3</v>
      </c>
      <c r="J131" s="167">
        <v>10175</v>
      </c>
      <c r="K131" s="166">
        <f t="shared" ref="K131:K146" si="224">J131/J$11</f>
        <v>1.8208430064686008E-3</v>
      </c>
      <c r="L131" s="306">
        <v>10869</v>
      </c>
      <c r="M131" s="214">
        <f t="shared" ref="M131:M146" si="225">L131/L$11</f>
        <v>2.118175029193359E-3</v>
      </c>
      <c r="N131" s="508">
        <v>8919</v>
      </c>
      <c r="O131" s="509">
        <f t="shared" si="198"/>
        <v>1.6417882698747223E-3</v>
      </c>
      <c r="P131" s="655">
        <v>9503</v>
      </c>
      <c r="Q131" s="356">
        <f t="shared" si="199"/>
        <v>1.6362514672111769E-3</v>
      </c>
      <c r="R131" s="508">
        <v>12066</v>
      </c>
      <c r="S131" s="509">
        <f t="shared" si="200"/>
        <v>2.2811441111752428E-3</v>
      </c>
      <c r="T131" s="355">
        <v>12215</v>
      </c>
      <c r="U131" s="356">
        <f t="shared" si="201"/>
        <v>2.5127457821252953E-3</v>
      </c>
      <c r="V131" s="655">
        <v>8461</v>
      </c>
      <c r="W131" s="860">
        <f t="shared" si="202"/>
        <v>1.5704204869992533E-3</v>
      </c>
      <c r="X131" s="655">
        <v>10036</v>
      </c>
      <c r="Y131" s="860">
        <f t="shared" si="203"/>
        <v>1.8643664145053503E-3</v>
      </c>
      <c r="Z131" s="1088">
        <v>8000</v>
      </c>
      <c r="AA131" s="1050">
        <f t="shared" si="204"/>
        <v>1.6243654822335025E-3</v>
      </c>
      <c r="AB131" s="1144">
        <f t="shared" si="205"/>
        <v>0</v>
      </c>
      <c r="AC131" s="1136"/>
      <c r="AD131" s="557">
        <v>8356</v>
      </c>
      <c r="AE131" s="748">
        <f t="shared" si="220"/>
        <v>1.8354826741726106E-3</v>
      </c>
      <c r="AF131" s="978">
        <f t="shared" si="207"/>
        <v>6640</v>
      </c>
      <c r="AG131" s="782">
        <f t="shared" si="208"/>
        <v>1.3951455657903583E-3</v>
      </c>
      <c r="AH131" s="1001">
        <f t="shared" si="209"/>
        <v>1716</v>
      </c>
      <c r="AI131" s="451">
        <f t="shared" si="210"/>
        <v>0.25843373493975902</v>
      </c>
      <c r="AJ131" s="1088">
        <v>8000</v>
      </c>
      <c r="AK131" s="1050">
        <f t="shared" si="211"/>
        <v>1.4953271028037382E-3</v>
      </c>
      <c r="AL131" s="842">
        <v>9000</v>
      </c>
      <c r="AM131" s="586">
        <f t="shared" si="212"/>
        <v>1.6071428571428571E-3</v>
      </c>
      <c r="AN131" s="982">
        <v>9000</v>
      </c>
      <c r="AO131" s="782">
        <f t="shared" si="213"/>
        <v>1.6071428571428571E-3</v>
      </c>
      <c r="AP131" s="450">
        <f t="shared" si="214"/>
        <v>856</v>
      </c>
      <c r="AQ131" s="451">
        <f t="shared" si="215"/>
        <v>9.5111111111111105E-2</v>
      </c>
      <c r="AR131" s="1125">
        <v>8861</v>
      </c>
      <c r="AS131" s="748">
        <f t="shared" si="216"/>
        <v>1.8592575013937612E-3</v>
      </c>
      <c r="AT131" s="902">
        <v>11012</v>
      </c>
      <c r="AU131" s="748">
        <f t="shared" si="217"/>
        <v>2.0506422223360225E-3</v>
      </c>
      <c r="AV131" s="450">
        <f t="shared" si="218"/>
        <v>-505</v>
      </c>
      <c r="AW131" s="452">
        <f t="shared" si="219"/>
        <v>-5.6991310235865025E-2</v>
      </c>
    </row>
    <row r="132" spans="1:49" ht="18" hidden="1" customHeight="1" x14ac:dyDescent="0.25">
      <c r="A132" s="106">
        <v>26</v>
      </c>
      <c r="B132" s="107" t="s">
        <v>91</v>
      </c>
      <c r="C132" s="78" t="s">
        <v>328</v>
      </c>
      <c r="D132" s="56">
        <v>8825</v>
      </c>
      <c r="E132" s="57">
        <f t="shared" si="221"/>
        <v>1.6764709219091599E-3</v>
      </c>
      <c r="F132" s="167">
        <v>9973</v>
      </c>
      <c r="G132" s="166">
        <f t="shared" si="222"/>
        <v>1.9508506142939665E-3</v>
      </c>
      <c r="H132" s="126">
        <v>9969</v>
      </c>
      <c r="I132" s="57">
        <f t="shared" si="223"/>
        <v>1.8274973735110222E-3</v>
      </c>
      <c r="J132" s="167">
        <v>8428</v>
      </c>
      <c r="K132" s="166">
        <f t="shared" si="224"/>
        <v>1.5082127625078493E-3</v>
      </c>
      <c r="L132" s="306">
        <v>6749</v>
      </c>
      <c r="M132" s="214">
        <f t="shared" si="225"/>
        <v>1.3152602145575472E-3</v>
      </c>
      <c r="N132" s="508">
        <v>8018</v>
      </c>
      <c r="O132" s="509">
        <f t="shared" si="198"/>
        <v>1.4759343365686201E-3</v>
      </c>
      <c r="P132" s="655">
        <v>5877</v>
      </c>
      <c r="Q132" s="356">
        <f t="shared" si="199"/>
        <v>1.0119172758918328E-3</v>
      </c>
      <c r="R132" s="508">
        <v>8295</v>
      </c>
      <c r="S132" s="509">
        <f t="shared" si="200"/>
        <v>1.5682156806065507E-3</v>
      </c>
      <c r="T132" s="355">
        <v>6943</v>
      </c>
      <c r="U132" s="356">
        <f t="shared" si="201"/>
        <v>1.4282434683009354E-3</v>
      </c>
      <c r="V132" s="655">
        <v>5078</v>
      </c>
      <c r="W132" s="860">
        <f t="shared" si="202"/>
        <v>9.4251214194329377E-4</v>
      </c>
      <c r="X132" s="655">
        <v>6455</v>
      </c>
      <c r="Y132" s="860">
        <f t="shared" si="203"/>
        <v>1.1991316466353165E-3</v>
      </c>
      <c r="Z132" s="1088">
        <v>6000</v>
      </c>
      <c r="AA132" s="1050">
        <f t="shared" si="204"/>
        <v>1.2182741116751269E-3</v>
      </c>
      <c r="AB132" s="1144">
        <f t="shared" si="205"/>
        <v>0</v>
      </c>
      <c r="AC132" s="1136"/>
      <c r="AD132" s="557">
        <v>6073</v>
      </c>
      <c r="AE132" s="748">
        <f t="shared" si="220"/>
        <v>1.3339978793980689E-3</v>
      </c>
      <c r="AF132" s="978">
        <f t="shared" si="207"/>
        <v>4980</v>
      </c>
      <c r="AG132" s="782">
        <f t="shared" si="208"/>
        <v>1.0463591743427687E-3</v>
      </c>
      <c r="AH132" s="1001">
        <f t="shared" si="209"/>
        <v>1093</v>
      </c>
      <c r="AI132" s="451">
        <f t="shared" si="210"/>
        <v>0.21947791164658634</v>
      </c>
      <c r="AJ132" s="1088">
        <v>6000</v>
      </c>
      <c r="AK132" s="1050">
        <f t="shared" si="211"/>
        <v>1.1214953271028037E-3</v>
      </c>
      <c r="AL132" s="842">
        <v>7000</v>
      </c>
      <c r="AM132" s="586">
        <f t="shared" si="212"/>
        <v>1.25E-3</v>
      </c>
      <c r="AN132" s="982">
        <v>7000</v>
      </c>
      <c r="AO132" s="782">
        <f t="shared" si="213"/>
        <v>1.25E-3</v>
      </c>
      <c r="AP132" s="450">
        <f t="shared" si="214"/>
        <v>239.66666666666606</v>
      </c>
      <c r="AQ132" s="451">
        <f t="shared" si="215"/>
        <v>3.4238095238095151E-2</v>
      </c>
      <c r="AR132" s="1125">
        <v>5393</v>
      </c>
      <c r="AS132" s="748">
        <f t="shared" si="216"/>
        <v>1.1315851151130294E-3</v>
      </c>
      <c r="AT132" s="902">
        <f>194+7009</f>
        <v>7203</v>
      </c>
      <c r="AU132" s="748">
        <f t="shared" si="217"/>
        <v>1.3413345375487078E-3</v>
      </c>
      <c r="AV132" s="450">
        <f t="shared" si="218"/>
        <v>680</v>
      </c>
      <c r="AW132" s="452">
        <f t="shared" si="219"/>
        <v>0.12608937511589097</v>
      </c>
    </row>
    <row r="133" spans="1:49" ht="18" hidden="1" customHeight="1" x14ac:dyDescent="0.25">
      <c r="A133" s="104">
        <v>27</v>
      </c>
      <c r="B133" s="107" t="s">
        <v>90</v>
      </c>
      <c r="C133" s="78" t="s">
        <v>222</v>
      </c>
      <c r="D133" s="56">
        <v>26189</v>
      </c>
      <c r="E133" s="57">
        <f t="shared" si="221"/>
        <v>4.9750818100712741E-3</v>
      </c>
      <c r="F133" s="167">
        <v>24550</v>
      </c>
      <c r="G133" s="166">
        <f t="shared" si="222"/>
        <v>4.8023044801881959E-3</v>
      </c>
      <c r="H133" s="126">
        <v>26186</v>
      </c>
      <c r="I133" s="57">
        <f t="shared" si="223"/>
        <v>4.8003657561199349E-3</v>
      </c>
      <c r="J133" s="167">
        <v>27713</v>
      </c>
      <c r="K133" s="166">
        <f t="shared" si="224"/>
        <v>4.9593142248908432E-3</v>
      </c>
      <c r="L133" s="306">
        <v>20548</v>
      </c>
      <c r="M133" s="214">
        <f t="shared" si="225"/>
        <v>4.0044401968778306E-3</v>
      </c>
      <c r="N133" s="508">
        <v>16440</v>
      </c>
      <c r="O133" s="509">
        <f t="shared" si="198"/>
        <v>3.0262360305797101E-3</v>
      </c>
      <c r="P133" s="655">
        <v>25942</v>
      </c>
      <c r="Q133" s="356">
        <f t="shared" si="199"/>
        <v>4.4667616081650379E-3</v>
      </c>
      <c r="R133" s="508">
        <v>33800</v>
      </c>
      <c r="S133" s="509">
        <f t="shared" si="200"/>
        <v>6.3900771554552633E-3</v>
      </c>
      <c r="T133" s="355">
        <v>32120</v>
      </c>
      <c r="U133" s="356">
        <f t="shared" si="201"/>
        <v>6.6074002883229213E-3</v>
      </c>
      <c r="V133" s="655">
        <v>29230</v>
      </c>
      <c r="W133" s="860">
        <f t="shared" si="202"/>
        <v>5.4252914354081284E-3</v>
      </c>
      <c r="X133" s="655">
        <v>27557</v>
      </c>
      <c r="Y133" s="860">
        <f t="shared" si="203"/>
        <v>5.1192053890518072E-3</v>
      </c>
      <c r="Z133" s="1088">
        <v>28000</v>
      </c>
      <c r="AA133" s="1050">
        <f t="shared" si="204"/>
        <v>5.6852791878172588E-3</v>
      </c>
      <c r="AB133" s="1144">
        <f t="shared" si="205"/>
        <v>0</v>
      </c>
      <c r="AC133" s="1136"/>
      <c r="AD133" s="557">
        <v>24529</v>
      </c>
      <c r="AE133" s="748">
        <f t="shared" si="220"/>
        <v>5.3880510429368074E-3</v>
      </c>
      <c r="AF133" s="978">
        <f t="shared" si="207"/>
        <v>23240</v>
      </c>
      <c r="AG133" s="782">
        <f t="shared" si="208"/>
        <v>4.8830094802662545E-3</v>
      </c>
      <c r="AH133" s="1001">
        <f t="shared" si="209"/>
        <v>1289</v>
      </c>
      <c r="AI133" s="451">
        <f t="shared" si="210"/>
        <v>5.5464716006884685E-2</v>
      </c>
      <c r="AJ133" s="1088">
        <v>28000</v>
      </c>
      <c r="AK133" s="1050">
        <f t="shared" si="211"/>
        <v>5.2336448598130844E-3</v>
      </c>
      <c r="AL133" s="842">
        <v>31000</v>
      </c>
      <c r="AM133" s="586">
        <f t="shared" si="212"/>
        <v>5.5357142857142853E-3</v>
      </c>
      <c r="AN133" s="982">
        <v>31000</v>
      </c>
      <c r="AO133" s="782">
        <f t="shared" si="213"/>
        <v>5.5357142857142853E-3</v>
      </c>
      <c r="AP133" s="450">
        <f t="shared" si="214"/>
        <v>-1304.3333333333358</v>
      </c>
      <c r="AQ133" s="451">
        <f t="shared" si="215"/>
        <v>-4.207526881720438E-2</v>
      </c>
      <c r="AR133" s="1125">
        <v>24825</v>
      </c>
      <c r="AS133" s="748">
        <f t="shared" si="216"/>
        <v>5.2089005159801516E-3</v>
      </c>
      <c r="AT133" s="902">
        <v>26955</v>
      </c>
      <c r="AU133" s="748">
        <f t="shared" si="217"/>
        <v>5.0195297042378764E-3</v>
      </c>
      <c r="AV133" s="450">
        <f t="shared" si="218"/>
        <v>-296</v>
      </c>
      <c r="AW133" s="452">
        <f t="shared" si="219"/>
        <v>-1.1923464249748238E-2</v>
      </c>
    </row>
    <row r="134" spans="1:49" ht="18" hidden="1" customHeight="1" x14ac:dyDescent="0.25">
      <c r="A134" s="104">
        <v>28</v>
      </c>
      <c r="B134" s="107" t="s">
        <v>94</v>
      </c>
      <c r="C134" s="78" t="s">
        <v>223</v>
      </c>
      <c r="D134" s="56">
        <v>43320</v>
      </c>
      <c r="E134" s="57">
        <f t="shared" si="221"/>
        <v>8.2294300665274565E-3</v>
      </c>
      <c r="F134" s="167">
        <v>28317</v>
      </c>
      <c r="G134" s="166">
        <f t="shared" si="222"/>
        <v>5.539179469062694E-3</v>
      </c>
      <c r="H134" s="126">
        <v>28840</v>
      </c>
      <c r="I134" s="57">
        <f t="shared" si="223"/>
        <v>5.2868917897540254E-3</v>
      </c>
      <c r="J134" s="167">
        <v>35445</v>
      </c>
      <c r="K134" s="166">
        <f t="shared" si="224"/>
        <v>6.342975957177352E-3</v>
      </c>
      <c r="L134" s="306">
        <v>36988</v>
      </c>
      <c r="M134" s="214">
        <f t="shared" si="225"/>
        <v>7.2083041659585945E-3</v>
      </c>
      <c r="N134" s="508">
        <v>35118</v>
      </c>
      <c r="O134" s="509">
        <f t="shared" si="198"/>
        <v>6.4644377689719139E-3</v>
      </c>
      <c r="P134" s="655">
        <v>45393</v>
      </c>
      <c r="Q134" s="356">
        <f t="shared" si="199"/>
        <v>7.8158858098618285E-3</v>
      </c>
      <c r="R134" s="508">
        <v>34654</v>
      </c>
      <c r="S134" s="509">
        <f t="shared" si="200"/>
        <v>6.5515305841759384E-3</v>
      </c>
      <c r="T134" s="355">
        <v>41006</v>
      </c>
      <c r="U134" s="356">
        <f t="shared" si="201"/>
        <v>8.4353379895071526E-3</v>
      </c>
      <c r="V134" s="655">
        <v>45315</v>
      </c>
      <c r="W134" s="860">
        <f t="shared" si="202"/>
        <v>8.4107793840410318E-3</v>
      </c>
      <c r="X134" s="655">
        <v>48840</v>
      </c>
      <c r="Y134" s="860">
        <f t="shared" si="203"/>
        <v>9.0729031172221315E-3</v>
      </c>
      <c r="Z134" s="1089">
        <v>41000</v>
      </c>
      <c r="AA134" s="1050">
        <f t="shared" si="204"/>
        <v>8.3248730964467013E-3</v>
      </c>
      <c r="AB134" s="1144">
        <f t="shared" si="205"/>
        <v>0</v>
      </c>
      <c r="AC134" s="1136"/>
      <c r="AD134" s="557">
        <v>33832</v>
      </c>
      <c r="AE134" s="748">
        <f t="shared" si="220"/>
        <v>7.4315521580430536E-3</v>
      </c>
      <c r="AF134" s="978">
        <f t="shared" si="207"/>
        <v>34030</v>
      </c>
      <c r="AG134" s="782">
        <f t="shared" si="208"/>
        <v>7.1501210246755868E-3</v>
      </c>
      <c r="AH134" s="1001">
        <f t="shared" si="209"/>
        <v>-198</v>
      </c>
      <c r="AI134" s="451">
        <f t="shared" si="210"/>
        <v>-5.818395533352924E-3</v>
      </c>
      <c r="AJ134" s="1089">
        <v>41000</v>
      </c>
      <c r="AK134" s="1050">
        <f t="shared" si="211"/>
        <v>7.6635514018691588E-3</v>
      </c>
      <c r="AL134" s="843">
        <v>41000</v>
      </c>
      <c r="AM134" s="586">
        <f t="shared" si="212"/>
        <v>7.3214285714285716E-3</v>
      </c>
      <c r="AN134" s="983">
        <v>41000</v>
      </c>
      <c r="AO134" s="782">
        <f t="shared" si="213"/>
        <v>7.3214285714285716E-3</v>
      </c>
      <c r="AP134" s="450">
        <f t="shared" si="214"/>
        <v>-334.66666666666424</v>
      </c>
      <c r="AQ134" s="451">
        <f t="shared" si="215"/>
        <v>-8.1626016260162009E-3</v>
      </c>
      <c r="AR134" s="1031">
        <v>38393</v>
      </c>
      <c r="AS134" s="748">
        <f t="shared" si="216"/>
        <v>8.0558033236667048E-3</v>
      </c>
      <c r="AT134" s="902">
        <v>43929</v>
      </c>
      <c r="AU134" s="748">
        <f t="shared" si="217"/>
        <v>8.1804088435342478E-3</v>
      </c>
      <c r="AV134" s="450">
        <f t="shared" si="218"/>
        <v>-4561</v>
      </c>
      <c r="AW134" s="452">
        <f t="shared" si="219"/>
        <v>-0.11879769749693955</v>
      </c>
    </row>
    <row r="135" spans="1:49" ht="18" hidden="1" customHeight="1" x14ac:dyDescent="0.25">
      <c r="A135" s="106">
        <v>29</v>
      </c>
      <c r="B135" s="107" t="s">
        <v>97</v>
      </c>
      <c r="C135" s="78" t="s">
        <v>225</v>
      </c>
      <c r="D135" s="56">
        <f>16364+2061</f>
        <v>18425</v>
      </c>
      <c r="E135" s="57">
        <f t="shared" si="221"/>
        <v>3.5001673355440537E-3</v>
      </c>
      <c r="F135" s="167">
        <f>18849+2252</f>
        <v>21101</v>
      </c>
      <c r="G135" s="166">
        <f t="shared" si="222"/>
        <v>4.127634494356461E-3</v>
      </c>
      <c r="H135" s="126">
        <f>11294+2042</f>
        <v>13336</v>
      </c>
      <c r="I135" s="57">
        <f t="shared" si="223"/>
        <v>2.4447291577031792E-3</v>
      </c>
      <c r="J135" s="167">
        <f>22637+2523</f>
        <v>25160</v>
      </c>
      <c r="K135" s="166">
        <f t="shared" si="224"/>
        <v>4.5024481614496306E-3</v>
      </c>
      <c r="L135" s="306">
        <f>10432+3566</f>
        <v>13998</v>
      </c>
      <c r="M135" s="214">
        <f t="shared" si="225"/>
        <v>2.7279615473961394E-3</v>
      </c>
      <c r="N135" s="508">
        <f>669+13067</f>
        <v>13736</v>
      </c>
      <c r="O135" s="509">
        <f t="shared" si="198"/>
        <v>2.528490153043972E-3</v>
      </c>
      <c r="P135" s="655">
        <f>1288+9247</f>
        <v>10535</v>
      </c>
      <c r="Q135" s="356">
        <f t="shared" si="199"/>
        <v>1.8139439342386352E-3</v>
      </c>
      <c r="R135" s="508">
        <f>17050+1409</f>
        <v>18459</v>
      </c>
      <c r="S135" s="509">
        <f t="shared" si="200"/>
        <v>3.4897761601345775E-3</v>
      </c>
      <c r="T135" s="355">
        <f>17359+96</f>
        <v>17455</v>
      </c>
      <c r="U135" s="356">
        <f t="shared" si="201"/>
        <v>3.5906653808429824E-3</v>
      </c>
      <c r="V135" s="655">
        <v>14639</v>
      </c>
      <c r="W135" s="860">
        <f t="shared" si="202"/>
        <v>2.7171002847396369E-3</v>
      </c>
      <c r="X135" s="655">
        <v>19303</v>
      </c>
      <c r="Y135" s="860">
        <f t="shared" si="203"/>
        <v>3.5858773315261836E-3</v>
      </c>
      <c r="Z135" s="1088">
        <v>15000</v>
      </c>
      <c r="AA135" s="1050">
        <f t="shared" si="204"/>
        <v>3.0456852791878172E-3</v>
      </c>
      <c r="AB135" s="1144">
        <f t="shared" si="205"/>
        <v>0</v>
      </c>
      <c r="AC135" s="1136"/>
      <c r="AD135" s="557">
        <v>18388</v>
      </c>
      <c r="AE135" s="748">
        <f t="shared" si="220"/>
        <v>4.0391162533133032E-3</v>
      </c>
      <c r="AF135" s="978">
        <f t="shared" si="207"/>
        <v>12450</v>
      </c>
      <c r="AG135" s="782">
        <f t="shared" si="208"/>
        <v>2.6158979358569217E-3</v>
      </c>
      <c r="AH135" s="1001">
        <f t="shared" si="209"/>
        <v>5938</v>
      </c>
      <c r="AI135" s="451">
        <f t="shared" si="210"/>
        <v>0.47694779116465863</v>
      </c>
      <c r="AJ135" s="1088">
        <v>15000</v>
      </c>
      <c r="AK135" s="1050">
        <f t="shared" si="211"/>
        <v>2.8037383177570091E-3</v>
      </c>
      <c r="AL135" s="842">
        <v>15000</v>
      </c>
      <c r="AM135" s="586">
        <f t="shared" si="212"/>
        <v>2.6785714285714286E-3</v>
      </c>
      <c r="AN135" s="982">
        <v>15000</v>
      </c>
      <c r="AO135" s="782">
        <f t="shared" si="213"/>
        <v>2.6785714285714286E-3</v>
      </c>
      <c r="AP135" s="450">
        <f t="shared" si="214"/>
        <v>5888</v>
      </c>
      <c r="AQ135" s="451">
        <f t="shared" si="215"/>
        <v>0.39253333333333335</v>
      </c>
      <c r="AR135" s="1031">
        <v>15863</v>
      </c>
      <c r="AS135" s="748">
        <f t="shared" si="216"/>
        <v>3.3284507103723319E-3</v>
      </c>
      <c r="AT135" s="902">
        <v>18945</v>
      </c>
      <c r="AU135" s="748">
        <f t="shared" si="217"/>
        <v>3.5279165367014119E-3</v>
      </c>
      <c r="AV135" s="450">
        <f t="shared" si="218"/>
        <v>2525</v>
      </c>
      <c r="AW135" s="452">
        <f t="shared" si="219"/>
        <v>0.15917543970245224</v>
      </c>
    </row>
    <row r="136" spans="1:49" ht="18" hidden="1" customHeight="1" x14ac:dyDescent="0.25">
      <c r="A136" s="104">
        <v>30</v>
      </c>
      <c r="B136" s="107" t="s">
        <v>98</v>
      </c>
      <c r="C136" s="953" t="s">
        <v>383</v>
      </c>
      <c r="D136" s="56">
        <v>14331</v>
      </c>
      <c r="E136" s="57">
        <f t="shared" si="221"/>
        <v>2.7224368024793394E-3</v>
      </c>
      <c r="F136" s="205">
        <f>-12431+3156</f>
        <v>-9275</v>
      </c>
      <c r="G136" s="166">
        <f t="shared" si="222"/>
        <v>-1.8143125887472714E-3</v>
      </c>
      <c r="H136" s="137">
        <f>-3921+3300</f>
        <v>-621</v>
      </c>
      <c r="I136" s="57">
        <f t="shared" si="223"/>
        <v>-1.1384049242154127E-4</v>
      </c>
      <c r="J136" s="165">
        <v>0</v>
      </c>
      <c r="K136" s="166">
        <f t="shared" si="224"/>
        <v>0</v>
      </c>
      <c r="L136" s="307">
        <v>-2000</v>
      </c>
      <c r="M136" s="214">
        <f t="shared" si="225"/>
        <v>-3.8976447312418053E-4</v>
      </c>
      <c r="N136" s="510">
        <v>0</v>
      </c>
      <c r="O136" s="509">
        <f t="shared" si="198"/>
        <v>0</v>
      </c>
      <c r="P136" s="656">
        <f>63313-75000</f>
        <v>-11687</v>
      </c>
      <c r="Q136" s="356">
        <f t="shared" si="199"/>
        <v>-2.0122983160367281E-3</v>
      </c>
      <c r="R136" s="510">
        <f>-25000+11508</f>
        <v>-13492</v>
      </c>
      <c r="S136" s="509">
        <f t="shared" si="200"/>
        <v>-2.5507373071420834E-3</v>
      </c>
      <c r="T136" s="357">
        <v>-5000</v>
      </c>
      <c r="U136" s="356">
        <f t="shared" si="201"/>
        <v>-1.0285492354176404E-3</v>
      </c>
      <c r="V136" s="656">
        <v>0</v>
      </c>
      <c r="W136" s="860">
        <f t="shared" si="202"/>
        <v>0</v>
      </c>
      <c r="X136" s="656">
        <v>-39440</v>
      </c>
      <c r="Y136" s="860">
        <f t="shared" si="203"/>
        <v>-7.3266850725479289E-3</v>
      </c>
      <c r="Z136" s="1090">
        <v>-10000</v>
      </c>
      <c r="AA136" s="1050">
        <f t="shared" si="204"/>
        <v>-2.0304568527918783E-3</v>
      </c>
      <c r="AB136" s="1144">
        <f t="shared" si="205"/>
        <v>37000</v>
      </c>
      <c r="AC136" s="1136"/>
      <c r="AD136" s="557">
        <v>-37683</v>
      </c>
      <c r="AE136" s="748">
        <f t="shared" si="220"/>
        <v>-8.2774645297805753E-3</v>
      </c>
      <c r="AF136" s="1190">
        <f t="shared" si="207"/>
        <v>-39010</v>
      </c>
      <c r="AG136" s="782">
        <f t="shared" si="208"/>
        <v>-8.1964801990183547E-3</v>
      </c>
      <c r="AH136" s="1001">
        <f t="shared" si="209"/>
        <v>1327</v>
      </c>
      <c r="AI136" s="451">
        <f t="shared" si="210"/>
        <v>-3.4016918738784929E-2</v>
      </c>
      <c r="AJ136" s="1090">
        <v>-47000</v>
      </c>
      <c r="AK136" s="1050">
        <f t="shared" si="211"/>
        <v>-8.7850467289719621E-3</v>
      </c>
      <c r="AL136" s="844">
        <v>-36000</v>
      </c>
      <c r="AM136" s="586">
        <f t="shared" si="212"/>
        <v>-6.4285714285714285E-3</v>
      </c>
      <c r="AN136" s="984">
        <v>-36000</v>
      </c>
      <c r="AO136" s="782">
        <f t="shared" si="213"/>
        <v>-6.4285714285714285E-3</v>
      </c>
      <c r="AP136" s="450">
        <f t="shared" si="214"/>
        <v>-7683</v>
      </c>
      <c r="AQ136" s="451">
        <f t="shared" si="215"/>
        <v>0.21341666666666667</v>
      </c>
      <c r="AR136" s="1031">
        <v>-40948</v>
      </c>
      <c r="AS136" s="748">
        <f t="shared" si="216"/>
        <v>-8.5919056728441176E-3</v>
      </c>
      <c r="AT136" s="902">
        <v>-41623</v>
      </c>
      <c r="AU136" s="748">
        <f t="shared" si="217"/>
        <v>-7.7509881238914157E-3</v>
      </c>
      <c r="AV136" s="450">
        <f t="shared" si="218"/>
        <v>3265</v>
      </c>
      <c r="AW136" s="452">
        <f t="shared" si="219"/>
        <v>-7.9735274006056456E-2</v>
      </c>
    </row>
    <row r="137" spans="1:49" ht="18" hidden="1" customHeight="1" x14ac:dyDescent="0.25">
      <c r="A137" s="104">
        <v>31</v>
      </c>
      <c r="B137" s="107" t="s">
        <v>99</v>
      </c>
      <c r="C137" s="78" t="s">
        <v>28</v>
      </c>
      <c r="D137" s="56">
        <v>1865</v>
      </c>
      <c r="E137" s="57">
        <f t="shared" si="221"/>
        <v>3.5429102202386213E-4</v>
      </c>
      <c r="F137" s="167">
        <v>6732</v>
      </c>
      <c r="G137" s="166">
        <f t="shared" si="222"/>
        <v>1.3168681776222783E-3</v>
      </c>
      <c r="H137" s="126">
        <v>9964</v>
      </c>
      <c r="I137" s="57">
        <f t="shared" si="223"/>
        <v>1.8265807833949068E-3</v>
      </c>
      <c r="J137" s="167">
        <v>10250</v>
      </c>
      <c r="K137" s="166">
        <f t="shared" si="224"/>
        <v>1.8342644536907279E-3</v>
      </c>
      <c r="L137" s="306">
        <v>10581</v>
      </c>
      <c r="M137" s="214">
        <f t="shared" si="225"/>
        <v>2.062048945063477E-3</v>
      </c>
      <c r="N137" s="508">
        <v>10947</v>
      </c>
      <c r="O137" s="509">
        <f t="shared" si="198"/>
        <v>2.015097678026526E-3</v>
      </c>
      <c r="P137" s="655">
        <v>9872</v>
      </c>
      <c r="Q137" s="356">
        <f t="shared" si="199"/>
        <v>1.6997868551308787E-3</v>
      </c>
      <c r="R137" s="508">
        <v>9412</v>
      </c>
      <c r="S137" s="509">
        <f t="shared" si="200"/>
        <v>1.7793907155960042E-3</v>
      </c>
      <c r="T137" s="355">
        <v>6854</v>
      </c>
      <c r="U137" s="356">
        <f t="shared" si="201"/>
        <v>1.4099352919105014E-3</v>
      </c>
      <c r="V137" s="655">
        <f>40+11904+150+1337+668</f>
        <v>14099</v>
      </c>
      <c r="W137" s="860">
        <f t="shared" si="202"/>
        <v>2.6168725264392474E-3</v>
      </c>
      <c r="X137" s="655">
        <v>10696</v>
      </c>
      <c r="Y137" s="860">
        <f t="shared" si="203"/>
        <v>1.9869732133867305E-3</v>
      </c>
      <c r="Z137" s="1088">
        <v>20000</v>
      </c>
      <c r="AA137" s="1050">
        <f t="shared" si="204"/>
        <v>4.0609137055837565E-3</v>
      </c>
      <c r="AB137" s="1144">
        <f t="shared" si="205"/>
        <v>-10000</v>
      </c>
      <c r="AC137" s="1136"/>
      <c r="AD137" s="557">
        <f>12208+1894+9653</f>
        <v>23755</v>
      </c>
      <c r="AE137" s="748">
        <f t="shared" si="220"/>
        <v>5.2180338589002352E-3</v>
      </c>
      <c r="AF137" s="978">
        <f t="shared" si="207"/>
        <v>24900</v>
      </c>
      <c r="AG137" s="782">
        <f t="shared" si="208"/>
        <v>5.2317958717138435E-3</v>
      </c>
      <c r="AH137" s="1001">
        <f t="shared" si="209"/>
        <v>-1145</v>
      </c>
      <c r="AI137" s="451">
        <f t="shared" si="210"/>
        <v>-4.5983935742971889E-2</v>
      </c>
      <c r="AJ137" s="1088">
        <v>30000</v>
      </c>
      <c r="AK137" s="1050">
        <f t="shared" si="211"/>
        <v>5.6074766355140183E-3</v>
      </c>
      <c r="AL137" s="842">
        <v>30000</v>
      </c>
      <c r="AM137" s="586">
        <f t="shared" si="212"/>
        <v>5.3571428571428572E-3</v>
      </c>
      <c r="AN137" s="982">
        <v>30000</v>
      </c>
      <c r="AO137" s="782">
        <f t="shared" si="213"/>
        <v>5.3571428571428572E-3</v>
      </c>
      <c r="AP137" s="450">
        <f t="shared" si="214"/>
        <v>-1245</v>
      </c>
      <c r="AQ137" s="451">
        <f t="shared" si="215"/>
        <v>-4.1500000000000002E-2</v>
      </c>
      <c r="AR137" s="1031">
        <v>16262</v>
      </c>
      <c r="AS137" s="748">
        <f t="shared" si="216"/>
        <v>3.412170803257572E-3</v>
      </c>
      <c r="AT137" s="902">
        <f>10363+255+4409+3119</f>
        <v>18146</v>
      </c>
      <c r="AU137" s="748">
        <f t="shared" si="217"/>
        <v>3.3791276576924686E-3</v>
      </c>
      <c r="AV137" s="450">
        <f t="shared" si="218"/>
        <v>7493</v>
      </c>
      <c r="AW137" s="452">
        <f t="shared" si="219"/>
        <v>0.46076743328003933</v>
      </c>
    </row>
    <row r="138" spans="1:49" ht="18" hidden="1" customHeight="1" x14ac:dyDescent="0.25">
      <c r="A138" s="106">
        <v>32</v>
      </c>
      <c r="B138" s="107" t="s">
        <v>75</v>
      </c>
      <c r="C138" s="78" t="s">
        <v>200</v>
      </c>
      <c r="D138" s="56">
        <v>4478</v>
      </c>
      <c r="E138" s="57">
        <f t="shared" si="221"/>
        <v>8.5067838961010969E-4</v>
      </c>
      <c r="F138" s="167">
        <v>3914</v>
      </c>
      <c r="G138" s="166">
        <f t="shared" si="222"/>
        <v>7.656301317904928E-4</v>
      </c>
      <c r="H138" s="126">
        <v>3448</v>
      </c>
      <c r="I138" s="57">
        <f t="shared" si="223"/>
        <v>6.3208054407322748E-4</v>
      </c>
      <c r="J138" s="167">
        <f>839+175</f>
        <v>1014</v>
      </c>
      <c r="K138" s="166">
        <f t="shared" si="224"/>
        <v>1.8145796644316079E-4</v>
      </c>
      <c r="L138" s="306">
        <v>697</v>
      </c>
      <c r="M138" s="214">
        <f t="shared" si="225"/>
        <v>1.3583291888377691E-4</v>
      </c>
      <c r="N138" s="508">
        <f>1405+231</f>
        <v>1636</v>
      </c>
      <c r="O138" s="509">
        <f t="shared" si="198"/>
        <v>3.0115098211851615E-4</v>
      </c>
      <c r="P138" s="655">
        <v>319</v>
      </c>
      <c r="Q138" s="356">
        <f t="shared" si="199"/>
        <v>5.4926256765270493E-5</v>
      </c>
      <c r="R138" s="508">
        <f>918+550+65</f>
        <v>1533</v>
      </c>
      <c r="S138" s="509">
        <f t="shared" si="200"/>
        <v>2.8982213844121061E-4</v>
      </c>
      <c r="T138" s="355">
        <f>238+346+52</f>
        <v>636</v>
      </c>
      <c r="U138" s="356">
        <f t="shared" si="201"/>
        <v>1.3083146274512386E-4</v>
      </c>
      <c r="V138" s="655">
        <v>302</v>
      </c>
      <c r="W138" s="860">
        <f t="shared" si="202"/>
        <v>5.6053301864291986E-5</v>
      </c>
      <c r="X138" s="655">
        <v>320</v>
      </c>
      <c r="Y138" s="860">
        <f t="shared" si="203"/>
        <v>5.9445720669760072E-5</v>
      </c>
      <c r="Z138" s="1088">
        <v>500</v>
      </c>
      <c r="AA138" s="1050">
        <f t="shared" si="204"/>
        <v>1.0152284263959391E-4</v>
      </c>
      <c r="AB138" s="1144">
        <f t="shared" si="205"/>
        <v>0</v>
      </c>
      <c r="AC138" s="1136"/>
      <c r="AD138" s="557">
        <v>152</v>
      </c>
      <c r="AE138" s="748">
        <f t="shared" si="220"/>
        <v>3.3388387562737768E-5</v>
      </c>
      <c r="AF138" s="978">
        <f t="shared" si="207"/>
        <v>415</v>
      </c>
      <c r="AG138" s="782">
        <f t="shared" si="208"/>
        <v>8.7196597861897396E-5</v>
      </c>
      <c r="AH138" s="1001">
        <f t="shared" si="209"/>
        <v>-263</v>
      </c>
      <c r="AI138" s="451">
        <f t="shared" si="210"/>
        <v>-0.63373493975903616</v>
      </c>
      <c r="AJ138" s="1088">
        <v>500</v>
      </c>
      <c r="AK138" s="1050">
        <f t="shared" si="211"/>
        <v>9.3457943925233641E-5</v>
      </c>
      <c r="AL138" s="842">
        <v>1100</v>
      </c>
      <c r="AM138" s="586">
        <f t="shared" si="212"/>
        <v>1.9642857142857144E-4</v>
      </c>
      <c r="AN138" s="982">
        <v>1100</v>
      </c>
      <c r="AO138" s="782">
        <f t="shared" si="213"/>
        <v>1.9642857142857144E-4</v>
      </c>
      <c r="AP138" s="450">
        <f t="shared" si="214"/>
        <v>-764.66666666666674</v>
      </c>
      <c r="AQ138" s="451">
        <f t="shared" si="215"/>
        <v>-0.69515151515151519</v>
      </c>
      <c r="AR138" s="1031">
        <v>386</v>
      </c>
      <c r="AS138" s="748">
        <f t="shared" si="216"/>
        <v>8.099237056065814E-5</v>
      </c>
      <c r="AT138" s="902">
        <f>236+75+75</f>
        <v>386</v>
      </c>
      <c r="AU138" s="748">
        <f t="shared" si="217"/>
        <v>7.1880484727724725E-5</v>
      </c>
      <c r="AV138" s="450">
        <f t="shared" si="218"/>
        <v>-234</v>
      </c>
      <c r="AW138" s="452">
        <f t="shared" si="219"/>
        <v>-0.60621761658031093</v>
      </c>
    </row>
    <row r="139" spans="1:49" ht="18" hidden="1" customHeight="1" x14ac:dyDescent="0.25">
      <c r="A139" s="956">
        <v>33</v>
      </c>
      <c r="B139" s="107" t="s">
        <v>72</v>
      </c>
      <c r="C139" s="78" t="s">
        <v>190</v>
      </c>
      <c r="D139" s="56">
        <v>19399</v>
      </c>
      <c r="E139" s="57">
        <f t="shared" si="221"/>
        <v>3.6851965341774271E-3</v>
      </c>
      <c r="F139" s="167">
        <v>19131</v>
      </c>
      <c r="G139" s="166">
        <f t="shared" si="222"/>
        <v>3.7422764566387118E-3</v>
      </c>
      <c r="H139" s="126">
        <v>16725</v>
      </c>
      <c r="I139" s="57">
        <f t="shared" si="223"/>
        <v>3.0659939384062441E-3</v>
      </c>
      <c r="J139" s="167">
        <v>26283</v>
      </c>
      <c r="K139" s="166">
        <f t="shared" si="224"/>
        <v>4.7034119645222834E-3</v>
      </c>
      <c r="L139" s="306">
        <v>32486</v>
      </c>
      <c r="M139" s="214">
        <f t="shared" si="225"/>
        <v>6.3309443369560644E-3</v>
      </c>
      <c r="N139" s="508">
        <v>23717</v>
      </c>
      <c r="O139" s="509">
        <f t="shared" si="198"/>
        <v>4.3657688526313248E-3</v>
      </c>
      <c r="P139" s="655">
        <v>22282</v>
      </c>
      <c r="Q139" s="356">
        <f t="shared" si="199"/>
        <v>3.8365732076606806E-3</v>
      </c>
      <c r="R139" s="508">
        <v>27130</v>
      </c>
      <c r="S139" s="509">
        <f t="shared" si="200"/>
        <v>5.1290767227071396E-3</v>
      </c>
      <c r="T139" s="355">
        <v>28078</v>
      </c>
      <c r="U139" s="356">
        <f t="shared" si="201"/>
        <v>5.7759210864113016E-3</v>
      </c>
      <c r="V139" s="655">
        <v>28879</v>
      </c>
      <c r="W139" s="860">
        <f t="shared" si="202"/>
        <v>5.360143392512875E-3</v>
      </c>
      <c r="X139" s="655">
        <v>24898</v>
      </c>
      <c r="Y139" s="860">
        <f t="shared" si="203"/>
        <v>4.62524860386152E-3</v>
      </c>
      <c r="Z139" s="1088">
        <v>24000</v>
      </c>
      <c r="AA139" s="1050">
        <f t="shared" si="204"/>
        <v>4.8730964467005077E-3</v>
      </c>
      <c r="AB139" s="1144">
        <f t="shared" si="205"/>
        <v>0</v>
      </c>
      <c r="AC139" s="1136"/>
      <c r="AD139" s="557">
        <v>21341</v>
      </c>
      <c r="AE139" s="748">
        <f t="shared" si="220"/>
        <v>4.6877735458972815E-3</v>
      </c>
      <c r="AF139" s="978">
        <f t="shared" si="207"/>
        <v>19920</v>
      </c>
      <c r="AG139" s="782">
        <f t="shared" si="208"/>
        <v>4.1854366973710748E-3</v>
      </c>
      <c r="AH139" s="1001">
        <f t="shared" si="209"/>
        <v>1421</v>
      </c>
      <c r="AI139" s="451">
        <f t="shared" si="210"/>
        <v>7.1335341365461852E-2</v>
      </c>
      <c r="AJ139" s="1088">
        <v>24000</v>
      </c>
      <c r="AK139" s="1050">
        <f t="shared" si="211"/>
        <v>4.485981308411215E-3</v>
      </c>
      <c r="AL139" s="842">
        <v>28000</v>
      </c>
      <c r="AM139" s="586">
        <f t="shared" si="212"/>
        <v>5.0000000000000001E-3</v>
      </c>
      <c r="AN139" s="982">
        <v>28000</v>
      </c>
      <c r="AO139" s="782">
        <f t="shared" si="213"/>
        <v>5.0000000000000001E-3</v>
      </c>
      <c r="AP139" s="450">
        <f t="shared" si="214"/>
        <v>-1992.3333333333358</v>
      </c>
      <c r="AQ139" s="451">
        <f t="shared" si="215"/>
        <v>-7.1154761904761984E-2</v>
      </c>
      <c r="AR139" s="1031">
        <v>24935</v>
      </c>
      <c r="AS139" s="748">
        <f t="shared" si="216"/>
        <v>5.2319812433419969E-3</v>
      </c>
      <c r="AT139" s="902">
        <v>26636</v>
      </c>
      <c r="AU139" s="748">
        <f t="shared" si="217"/>
        <v>4.9601258839577101E-3</v>
      </c>
      <c r="AV139" s="450">
        <f t="shared" si="218"/>
        <v>-3594</v>
      </c>
      <c r="AW139" s="452">
        <f t="shared" si="219"/>
        <v>-0.14413475035091236</v>
      </c>
    </row>
    <row r="140" spans="1:49" ht="18" hidden="1" customHeight="1" x14ac:dyDescent="0.25">
      <c r="A140" s="956">
        <v>34</v>
      </c>
      <c r="B140" s="107" t="s">
        <v>93</v>
      </c>
      <c r="C140" s="78" t="s">
        <v>329</v>
      </c>
      <c r="D140" s="56">
        <v>1344</v>
      </c>
      <c r="E140" s="57">
        <f t="shared" si="221"/>
        <v>2.553174979088851E-4</v>
      </c>
      <c r="F140" s="167">
        <v>2286</v>
      </c>
      <c r="G140" s="166">
        <f t="shared" si="222"/>
        <v>4.4717181432628165E-4</v>
      </c>
      <c r="H140" s="126">
        <v>1176</v>
      </c>
      <c r="I140" s="57">
        <f t="shared" si="223"/>
        <v>2.1558199531035834E-4</v>
      </c>
      <c r="J140" s="167">
        <v>1176</v>
      </c>
      <c r="K140" s="166">
        <f t="shared" si="224"/>
        <v>2.1044829244295572E-4</v>
      </c>
      <c r="L140" s="306">
        <v>676</v>
      </c>
      <c r="M140" s="214">
        <f t="shared" si="225"/>
        <v>1.3174039191597302E-4</v>
      </c>
      <c r="N140" s="508">
        <v>109</v>
      </c>
      <c r="O140" s="509">
        <f t="shared" si="198"/>
        <v>2.0064460300072289E-5</v>
      </c>
      <c r="P140" s="655">
        <v>1400</v>
      </c>
      <c r="Q140" s="356">
        <f t="shared" si="199"/>
        <v>2.4105567232407112E-4</v>
      </c>
      <c r="R140" s="508">
        <v>1858</v>
      </c>
      <c r="S140" s="509">
        <f t="shared" si="200"/>
        <v>3.5126518801289585E-4</v>
      </c>
      <c r="T140" s="355">
        <v>648</v>
      </c>
      <c r="U140" s="356">
        <f t="shared" si="201"/>
        <v>1.3329998091012618E-4</v>
      </c>
      <c r="V140" s="655">
        <v>1329</v>
      </c>
      <c r="W140" s="860">
        <f t="shared" si="202"/>
        <v>2.4667164959484787E-4</v>
      </c>
      <c r="X140" s="655">
        <v>119</v>
      </c>
      <c r="Y140" s="860">
        <f t="shared" si="203"/>
        <v>2.2106377374067028E-5</v>
      </c>
      <c r="Z140" s="1088">
        <v>2000</v>
      </c>
      <c r="AA140" s="1050">
        <f t="shared" si="204"/>
        <v>4.0609137055837562E-4</v>
      </c>
      <c r="AB140" s="1144">
        <f t="shared" si="205"/>
        <v>0</v>
      </c>
      <c r="AC140" s="1136"/>
      <c r="AD140" s="557">
        <v>1101</v>
      </c>
      <c r="AE140" s="748">
        <f t="shared" si="220"/>
        <v>2.4184614938535713E-4</v>
      </c>
      <c r="AF140" s="978">
        <f t="shared" si="207"/>
        <v>1660</v>
      </c>
      <c r="AG140" s="782">
        <f t="shared" si="208"/>
        <v>3.4878639144758958E-4</v>
      </c>
      <c r="AH140" s="1001">
        <f t="shared" si="209"/>
        <v>-559</v>
      </c>
      <c r="AI140" s="451">
        <f t="shared" si="210"/>
        <v>-0.33674698795180724</v>
      </c>
      <c r="AJ140" s="1088">
        <v>2000</v>
      </c>
      <c r="AK140" s="1050">
        <f t="shared" si="211"/>
        <v>3.7383177570093456E-4</v>
      </c>
      <c r="AL140" s="842">
        <v>2000</v>
      </c>
      <c r="AM140" s="586">
        <f t="shared" si="212"/>
        <v>3.5714285714285714E-4</v>
      </c>
      <c r="AN140" s="982">
        <v>2000</v>
      </c>
      <c r="AO140" s="782">
        <f t="shared" si="213"/>
        <v>3.5714285714285714E-4</v>
      </c>
      <c r="AP140" s="450">
        <f t="shared" si="214"/>
        <v>-565.66666666666652</v>
      </c>
      <c r="AQ140" s="451">
        <f t="shared" si="215"/>
        <v>-0.28283333333333327</v>
      </c>
      <c r="AR140" s="1015">
        <v>401</v>
      </c>
      <c r="AS140" s="748">
        <f t="shared" si="216"/>
        <v>8.4139742473637085E-5</v>
      </c>
      <c r="AT140" s="902">
        <v>413</v>
      </c>
      <c r="AU140" s="748">
        <f t="shared" si="217"/>
        <v>7.6908394281218436E-5</v>
      </c>
      <c r="AV140" s="450">
        <f t="shared" si="218"/>
        <v>700</v>
      </c>
      <c r="AW140" s="452">
        <f t="shared" si="219"/>
        <v>1.745635910224439</v>
      </c>
    </row>
    <row r="141" spans="1:49" ht="18" hidden="1" customHeight="1" x14ac:dyDescent="0.25">
      <c r="A141" s="957">
        <v>35</v>
      </c>
      <c r="B141" s="107" t="s">
        <v>95</v>
      </c>
      <c r="C141" s="78" t="s">
        <v>224</v>
      </c>
      <c r="D141" s="56">
        <v>17600</v>
      </c>
      <c r="E141" s="57">
        <f t="shared" si="221"/>
        <v>3.3434434249973049E-3</v>
      </c>
      <c r="F141" s="167">
        <v>19537</v>
      </c>
      <c r="G141" s="166">
        <f t="shared" si="222"/>
        <v>3.8216954227876486E-3</v>
      </c>
      <c r="H141" s="126">
        <v>17628</v>
      </c>
      <c r="I141" s="57">
        <f t="shared" si="223"/>
        <v>3.2315301133766976E-3</v>
      </c>
      <c r="J141" s="167">
        <v>20128</v>
      </c>
      <c r="K141" s="166">
        <f t="shared" si="224"/>
        <v>3.6019585291597045E-3</v>
      </c>
      <c r="L141" s="306">
        <v>20526</v>
      </c>
      <c r="M141" s="214">
        <f t="shared" si="225"/>
        <v>4.0001527876734645E-3</v>
      </c>
      <c r="N141" s="508">
        <v>19391</v>
      </c>
      <c r="O141" s="509">
        <f t="shared" si="198"/>
        <v>3.5694490796211167E-3</v>
      </c>
      <c r="P141" s="655">
        <v>22374</v>
      </c>
      <c r="Q141" s="356">
        <f t="shared" si="199"/>
        <v>3.8524140089848335E-3</v>
      </c>
      <c r="R141" s="508">
        <v>22792</v>
      </c>
      <c r="S141" s="509">
        <f t="shared" si="200"/>
        <v>4.3089538025779988E-3</v>
      </c>
      <c r="T141" s="355">
        <v>28737</v>
      </c>
      <c r="U141" s="356">
        <f t="shared" si="201"/>
        <v>5.9114838756393461E-3</v>
      </c>
      <c r="V141" s="655">
        <v>17899</v>
      </c>
      <c r="W141" s="860">
        <f t="shared" si="202"/>
        <v>3.3221789737382856E-3</v>
      </c>
      <c r="X141" s="655">
        <v>18171</v>
      </c>
      <c r="Y141" s="860">
        <f t="shared" si="203"/>
        <v>3.375588094656907E-3</v>
      </c>
      <c r="Z141" s="1084">
        <v>19000</v>
      </c>
      <c r="AA141" s="1050">
        <f t="shared" si="204"/>
        <v>3.8578680203045683E-3</v>
      </c>
      <c r="AB141" s="1144">
        <f t="shared" si="205"/>
        <v>0</v>
      </c>
      <c r="AC141" s="1136"/>
      <c r="AD141" s="557">
        <v>17675</v>
      </c>
      <c r="AE141" s="748">
        <f t="shared" si="220"/>
        <v>3.8824983563907241E-3</v>
      </c>
      <c r="AF141" s="978">
        <f t="shared" si="207"/>
        <v>15770</v>
      </c>
      <c r="AG141" s="782">
        <f t="shared" si="208"/>
        <v>3.313470718752101E-3</v>
      </c>
      <c r="AH141" s="1001">
        <f t="shared" si="209"/>
        <v>1905</v>
      </c>
      <c r="AI141" s="451">
        <f t="shared" si="210"/>
        <v>0.12079898541534559</v>
      </c>
      <c r="AJ141" s="1084">
        <v>19000</v>
      </c>
      <c r="AK141" s="1050">
        <f t="shared" si="211"/>
        <v>3.5514018691588786E-3</v>
      </c>
      <c r="AL141" s="840">
        <v>19000</v>
      </c>
      <c r="AM141" s="586">
        <f t="shared" si="212"/>
        <v>3.3928571428571428E-3</v>
      </c>
      <c r="AN141" s="978">
        <v>19000</v>
      </c>
      <c r="AO141" s="782">
        <f t="shared" si="213"/>
        <v>3.3928571428571428E-3</v>
      </c>
      <c r="AP141" s="450">
        <f t="shared" si="214"/>
        <v>1841.6666666666679</v>
      </c>
      <c r="AQ141" s="451">
        <f t="shared" si="215"/>
        <v>9.6929824561403574E-2</v>
      </c>
      <c r="AR141" s="1015">
        <v>15893</v>
      </c>
      <c r="AS141" s="748">
        <f t="shared" si="216"/>
        <v>3.3347454541982897E-3</v>
      </c>
      <c r="AT141" s="902">
        <v>20180</v>
      </c>
      <c r="AU141" s="748">
        <f t="shared" si="217"/>
        <v>3.757896844055661E-3</v>
      </c>
      <c r="AV141" s="450">
        <f t="shared" si="218"/>
        <v>1782</v>
      </c>
      <c r="AW141" s="452">
        <f t="shared" si="219"/>
        <v>0.11212483483294532</v>
      </c>
    </row>
    <row r="142" spans="1:49" ht="18" hidden="1" customHeight="1" x14ac:dyDescent="0.25">
      <c r="A142" s="956">
        <v>36</v>
      </c>
      <c r="B142" s="107" t="s">
        <v>96</v>
      </c>
      <c r="C142" s="78" t="s">
        <v>194</v>
      </c>
      <c r="D142" s="56">
        <v>7776</v>
      </c>
      <c r="E142" s="57">
        <f t="shared" si="221"/>
        <v>1.4771940950442637E-3</v>
      </c>
      <c r="F142" s="167">
        <v>7155</v>
      </c>
      <c r="G142" s="166">
        <f t="shared" si="222"/>
        <v>1.3996125684621809E-3</v>
      </c>
      <c r="H142" s="126">
        <v>4870</v>
      </c>
      <c r="I142" s="57">
        <f t="shared" si="223"/>
        <v>8.9275877309646684E-4</v>
      </c>
      <c r="J142" s="167">
        <v>4680</v>
      </c>
      <c r="K142" s="166">
        <f t="shared" si="224"/>
        <v>8.3749830666074215E-4</v>
      </c>
      <c r="L142" s="306">
        <v>3486</v>
      </c>
      <c r="M142" s="214">
        <f t="shared" si="225"/>
        <v>6.793594766554466E-4</v>
      </c>
      <c r="N142" s="508">
        <v>4553</v>
      </c>
      <c r="O142" s="509">
        <f t="shared" si="198"/>
        <v>8.3810539216723967E-4</v>
      </c>
      <c r="P142" s="655">
        <v>6642</v>
      </c>
      <c r="Q142" s="356">
        <f t="shared" si="199"/>
        <v>1.1436369825546288E-3</v>
      </c>
      <c r="R142" s="508">
        <v>7624</v>
      </c>
      <c r="S142" s="509">
        <f t="shared" si="200"/>
        <v>1.4413594151831636E-3</v>
      </c>
      <c r="T142" s="355">
        <v>6137</v>
      </c>
      <c r="U142" s="356">
        <f t="shared" si="201"/>
        <v>1.2624413315516117E-3</v>
      </c>
      <c r="V142" s="655">
        <v>4086</v>
      </c>
      <c r="W142" s="860">
        <f t="shared" si="202"/>
        <v>7.5839003780628161E-4</v>
      </c>
      <c r="X142" s="655">
        <v>6490</v>
      </c>
      <c r="Y142" s="860">
        <f t="shared" si="203"/>
        <v>1.2056335223335716E-3</v>
      </c>
      <c r="Z142" s="1084">
        <v>6300</v>
      </c>
      <c r="AA142" s="1050">
        <f t="shared" si="204"/>
        <v>1.2791878172588832E-3</v>
      </c>
      <c r="AB142" s="1144">
        <f t="shared" si="205"/>
        <v>0</v>
      </c>
      <c r="AC142" s="1136"/>
      <c r="AD142" s="557">
        <v>7721</v>
      </c>
      <c r="AE142" s="748">
        <f t="shared" si="220"/>
        <v>1.6959982919203837E-3</v>
      </c>
      <c r="AF142" s="978">
        <f t="shared" si="207"/>
        <v>5229</v>
      </c>
      <c r="AG142" s="782">
        <f t="shared" si="208"/>
        <v>1.0986771330599072E-3</v>
      </c>
      <c r="AH142" s="1001">
        <f t="shared" si="209"/>
        <v>2492</v>
      </c>
      <c r="AI142" s="451">
        <f t="shared" si="210"/>
        <v>0.47657295850066933</v>
      </c>
      <c r="AJ142" s="1084">
        <v>6300</v>
      </c>
      <c r="AK142" s="1050">
        <f t="shared" si="211"/>
        <v>1.1775700934579438E-3</v>
      </c>
      <c r="AL142" s="840">
        <v>6300</v>
      </c>
      <c r="AM142" s="586">
        <f t="shared" si="212"/>
        <v>1.1249999999999999E-3</v>
      </c>
      <c r="AN142" s="978">
        <v>6300</v>
      </c>
      <c r="AO142" s="782">
        <f t="shared" si="213"/>
        <v>1.1249999999999999E-3</v>
      </c>
      <c r="AP142" s="450">
        <f t="shared" si="214"/>
        <v>2471</v>
      </c>
      <c r="AQ142" s="451">
        <f t="shared" si="215"/>
        <v>0.39222222222222225</v>
      </c>
      <c r="AR142" s="1015">
        <v>4937</v>
      </c>
      <c r="AS142" s="748">
        <f t="shared" si="216"/>
        <v>1.0359050089584695E-3</v>
      </c>
      <c r="AT142" s="902">
        <v>6410</v>
      </c>
      <c r="AU142" s="748">
        <f t="shared" si="217"/>
        <v>1.1936629717738743E-3</v>
      </c>
      <c r="AV142" s="450">
        <f t="shared" si="218"/>
        <v>2784</v>
      </c>
      <c r="AW142" s="452">
        <f t="shared" si="219"/>
        <v>0.56390520559043955</v>
      </c>
    </row>
    <row r="143" spans="1:49" ht="18" hidden="1" customHeight="1" x14ac:dyDescent="0.25">
      <c r="A143" s="956">
        <v>37</v>
      </c>
      <c r="B143" s="107" t="s">
        <v>100</v>
      </c>
      <c r="C143" s="78" t="s">
        <v>195</v>
      </c>
      <c r="D143" s="56">
        <v>29766</v>
      </c>
      <c r="E143" s="57">
        <f t="shared" si="221"/>
        <v>5.6545986925266916E-3</v>
      </c>
      <c r="F143" s="167">
        <v>22367</v>
      </c>
      <c r="G143" s="166">
        <f t="shared" si="222"/>
        <v>4.3752808272248212E-3</v>
      </c>
      <c r="H143" s="126">
        <v>14010</v>
      </c>
      <c r="I143" s="57">
        <f t="shared" si="223"/>
        <v>2.5682855053555443E-3</v>
      </c>
      <c r="J143" s="167">
        <v>16247</v>
      </c>
      <c r="K143" s="166">
        <f t="shared" si="224"/>
        <v>2.9074433735720253E-3</v>
      </c>
      <c r="L143" s="306">
        <v>28682</v>
      </c>
      <c r="M143" s="214">
        <f t="shared" si="225"/>
        <v>5.5896123090738731E-3</v>
      </c>
      <c r="N143" s="508">
        <v>31620</v>
      </c>
      <c r="O143" s="509">
        <f t="shared" si="198"/>
        <v>5.820534263195282E-3</v>
      </c>
      <c r="P143" s="655">
        <v>34317</v>
      </c>
      <c r="Q143" s="356">
        <f t="shared" si="199"/>
        <v>5.9087910765322485E-3</v>
      </c>
      <c r="R143" s="508">
        <v>37719</v>
      </c>
      <c r="S143" s="509">
        <f t="shared" si="200"/>
        <v>7.130985805521216E-3</v>
      </c>
      <c r="T143" s="355">
        <v>40518</v>
      </c>
      <c r="U143" s="356">
        <f t="shared" si="201"/>
        <v>8.3349515841303901E-3</v>
      </c>
      <c r="V143" s="655">
        <v>41893</v>
      </c>
      <c r="W143" s="860">
        <f t="shared" si="202"/>
        <v>7.7756323675522657E-3</v>
      </c>
      <c r="X143" s="655">
        <v>48698</v>
      </c>
      <c r="Y143" s="860">
        <f t="shared" si="203"/>
        <v>9.0465240786749244E-3</v>
      </c>
      <c r="Z143" s="1084">
        <v>65700</v>
      </c>
      <c r="AA143" s="1050">
        <f t="shared" si="204"/>
        <v>1.3340101522842639E-2</v>
      </c>
      <c r="AB143" s="1144">
        <f t="shared" si="205"/>
        <v>-3075</v>
      </c>
      <c r="AC143" s="1136"/>
      <c r="AD143" s="557">
        <v>57313</v>
      </c>
      <c r="AE143" s="748">
        <f t="shared" si="220"/>
        <v>1.2589399055152564E-2</v>
      </c>
      <c r="AF143" s="978">
        <f t="shared" si="207"/>
        <v>57083.25</v>
      </c>
      <c r="AG143" s="782">
        <f t="shared" si="208"/>
        <v>1.1993892035903987E-2</v>
      </c>
      <c r="AH143" s="1001">
        <f t="shared" si="209"/>
        <v>229.75</v>
      </c>
      <c r="AI143" s="451">
        <f t="shared" si="210"/>
        <v>4.0248233939027649E-3</v>
      </c>
      <c r="AJ143" s="1084">
        <v>68775</v>
      </c>
      <c r="AK143" s="1050">
        <f t="shared" si="211"/>
        <v>1.2855140186915888E-2</v>
      </c>
      <c r="AL143" s="840">
        <v>69165</v>
      </c>
      <c r="AM143" s="586">
        <f t="shared" si="212"/>
        <v>1.2350892857142857E-2</v>
      </c>
      <c r="AN143" s="978">
        <v>69165</v>
      </c>
      <c r="AO143" s="782">
        <f t="shared" si="213"/>
        <v>1.2350892857142857E-2</v>
      </c>
      <c r="AP143" s="450">
        <f t="shared" si="214"/>
        <v>-324.5</v>
      </c>
      <c r="AQ143" s="451">
        <f t="shared" si="215"/>
        <v>-4.6916793175739175E-3</v>
      </c>
      <c r="AR143" s="1015">
        <v>49826</v>
      </c>
      <c r="AS143" s="748">
        <f t="shared" si="216"/>
        <v>1.0454730195739255E-2</v>
      </c>
      <c r="AT143" s="902">
        <v>59902</v>
      </c>
      <c r="AU143" s="748">
        <f t="shared" si="217"/>
        <v>1.1154882891606649E-2</v>
      </c>
      <c r="AV143" s="450">
        <f t="shared" si="218"/>
        <v>7487</v>
      </c>
      <c r="AW143" s="452">
        <f t="shared" si="219"/>
        <v>0.15026291494400515</v>
      </c>
    </row>
    <row r="144" spans="1:49" ht="18" hidden="1" customHeight="1" x14ac:dyDescent="0.25">
      <c r="A144" s="957">
        <v>38</v>
      </c>
      <c r="B144" s="107" t="s">
        <v>101</v>
      </c>
      <c r="C144" s="78" t="s">
        <v>5</v>
      </c>
      <c r="D144" s="56">
        <v>30647</v>
      </c>
      <c r="E144" s="57">
        <f t="shared" si="221"/>
        <v>5.8219608321529778E-3</v>
      </c>
      <c r="F144" s="167">
        <v>32763</v>
      </c>
      <c r="G144" s="166">
        <f t="shared" si="222"/>
        <v>6.4088758323586903E-3</v>
      </c>
      <c r="H144" s="126">
        <v>34052</v>
      </c>
      <c r="I144" s="57">
        <f t="shared" si="223"/>
        <v>6.2423453267927906E-3</v>
      </c>
      <c r="J144" s="167">
        <v>34924</v>
      </c>
      <c r="K144" s="166">
        <f t="shared" si="224"/>
        <v>6.2497416371409742E-3</v>
      </c>
      <c r="L144" s="306">
        <v>36183</v>
      </c>
      <c r="M144" s="214">
        <f t="shared" si="225"/>
        <v>7.0514239655261116E-3</v>
      </c>
      <c r="N144" s="508">
        <v>34042</v>
      </c>
      <c r="O144" s="509">
        <f t="shared" si="198"/>
        <v>6.2663702526152372E-3</v>
      </c>
      <c r="P144" s="655">
        <v>35428</v>
      </c>
      <c r="Q144" s="356">
        <f t="shared" si="199"/>
        <v>6.1000859707837085E-3</v>
      </c>
      <c r="R144" s="508">
        <v>35509</v>
      </c>
      <c r="S144" s="509">
        <f t="shared" si="200"/>
        <v>6.7131730684337563E-3</v>
      </c>
      <c r="T144" s="355">
        <v>36410</v>
      </c>
      <c r="U144" s="356">
        <f t="shared" si="201"/>
        <v>7.4898955323112575E-3</v>
      </c>
      <c r="V144" s="655">
        <v>33648</v>
      </c>
      <c r="W144" s="860">
        <f t="shared" si="202"/>
        <v>6.2453029838731682E-3</v>
      </c>
      <c r="X144" s="655">
        <v>33016</v>
      </c>
      <c r="Y144" s="860">
        <f t="shared" si="203"/>
        <v>6.1333122301024954E-3</v>
      </c>
      <c r="Z144" s="1084">
        <v>36400</v>
      </c>
      <c r="AA144" s="1050">
        <f t="shared" si="204"/>
        <v>7.3908629441624364E-3</v>
      </c>
      <c r="AB144" s="1144">
        <f t="shared" si="205"/>
        <v>-575</v>
      </c>
      <c r="AC144" s="1136"/>
      <c r="AD144" s="557">
        <v>29351</v>
      </c>
      <c r="AE144" s="748">
        <f t="shared" si="220"/>
        <v>6.4472537062757644E-3</v>
      </c>
      <c r="AF144" s="978">
        <f t="shared" si="207"/>
        <v>30689.25</v>
      </c>
      <c r="AG144" s="782">
        <f t="shared" si="208"/>
        <v>6.448188411887313E-3</v>
      </c>
      <c r="AH144" s="1001">
        <f t="shared" si="209"/>
        <v>-1338.25</v>
      </c>
      <c r="AI144" s="451">
        <f t="shared" si="210"/>
        <v>-4.3606474579861026E-2</v>
      </c>
      <c r="AJ144" s="1084">
        <v>36975</v>
      </c>
      <c r="AK144" s="1050">
        <f t="shared" si="211"/>
        <v>6.9112149532710278E-3</v>
      </c>
      <c r="AL144" s="840">
        <v>36975</v>
      </c>
      <c r="AM144" s="586">
        <f t="shared" si="212"/>
        <v>6.6026785714285718E-3</v>
      </c>
      <c r="AN144" s="978">
        <v>36975</v>
      </c>
      <c r="AO144" s="782">
        <f t="shared" si="213"/>
        <v>6.6026785714285718E-3</v>
      </c>
      <c r="AP144" s="450">
        <f t="shared" si="214"/>
        <v>-1461.5</v>
      </c>
      <c r="AQ144" s="451">
        <f t="shared" si="215"/>
        <v>-3.9526707234617986E-2</v>
      </c>
      <c r="AR144" s="1015">
        <v>27727</v>
      </c>
      <c r="AS144" s="748">
        <f t="shared" si="216"/>
        <v>5.8178120687444775E-3</v>
      </c>
      <c r="AT144" s="902">
        <v>33336</v>
      </c>
      <c r="AU144" s="748">
        <f t="shared" si="217"/>
        <v>6.2077923287135531E-3</v>
      </c>
      <c r="AV144" s="450">
        <f t="shared" si="218"/>
        <v>1624</v>
      </c>
      <c r="AW144" s="452">
        <f t="shared" si="219"/>
        <v>5.85710679121434E-2</v>
      </c>
    </row>
    <row r="145" spans="1:49" ht="18" hidden="1" customHeight="1" x14ac:dyDescent="0.25">
      <c r="A145" s="956">
        <v>39</v>
      </c>
      <c r="B145" s="107" t="s">
        <v>102</v>
      </c>
      <c r="C145" s="79" t="s">
        <v>196</v>
      </c>
      <c r="D145" s="58">
        <v>21994</v>
      </c>
      <c r="E145" s="59">
        <f t="shared" si="221"/>
        <v>4.1781644709881095E-3</v>
      </c>
      <c r="F145" s="168">
        <v>28198</v>
      </c>
      <c r="G145" s="169">
        <f t="shared" si="222"/>
        <v>5.5159014962259363E-3</v>
      </c>
      <c r="H145" s="127">
        <v>27859</v>
      </c>
      <c r="I145" s="59">
        <f t="shared" si="223"/>
        <v>5.1070568089721709E-3</v>
      </c>
      <c r="J145" s="168">
        <v>32991</v>
      </c>
      <c r="K145" s="169">
        <f t="shared" si="224"/>
        <v>5.9038262040693474E-3</v>
      </c>
      <c r="L145" s="308">
        <v>34882</v>
      </c>
      <c r="M145" s="215">
        <f t="shared" si="225"/>
        <v>6.7978821757588327E-3</v>
      </c>
      <c r="N145" s="511">
        <v>36025</v>
      </c>
      <c r="O145" s="512">
        <f t="shared" si="198"/>
        <v>6.6313961679826065E-3</v>
      </c>
      <c r="P145" s="657">
        <v>35667</v>
      </c>
      <c r="Q145" s="359">
        <f t="shared" si="199"/>
        <v>6.1412376177018887E-3</v>
      </c>
      <c r="R145" s="511">
        <v>37667</v>
      </c>
      <c r="S145" s="512">
        <f t="shared" si="200"/>
        <v>7.1211549175897457E-3</v>
      </c>
      <c r="T145" s="358">
        <v>37687</v>
      </c>
      <c r="U145" s="359">
        <f t="shared" si="201"/>
        <v>7.7525870070369223E-3</v>
      </c>
      <c r="V145" s="657">
        <v>39327</v>
      </c>
      <c r="W145" s="861">
        <f t="shared" si="202"/>
        <v>7.2993649086655994E-3</v>
      </c>
      <c r="X145" s="657">
        <v>41902</v>
      </c>
      <c r="Y145" s="861">
        <f t="shared" si="203"/>
        <v>7.7840455859508953E-3</v>
      </c>
      <c r="Z145" s="1091">
        <v>42515</v>
      </c>
      <c r="AA145" s="1053">
        <f t="shared" si="204"/>
        <v>8.6324873096446705E-3</v>
      </c>
      <c r="AB145" s="1144">
        <f t="shared" si="205"/>
        <v>-4215</v>
      </c>
      <c r="AC145" s="495"/>
      <c r="AD145" s="557">
        <v>38507</v>
      </c>
      <c r="AE145" s="749">
        <f t="shared" si="220"/>
        <v>8.4584647360417316E-3</v>
      </c>
      <c r="AF145" s="978">
        <f t="shared" si="207"/>
        <v>38785.9</v>
      </c>
      <c r="AG145" s="785">
        <f t="shared" si="208"/>
        <v>8.1493940361729317E-3</v>
      </c>
      <c r="AH145" s="1001">
        <f t="shared" si="209"/>
        <v>-278.90000000000146</v>
      </c>
      <c r="AI145" s="451">
        <f t="shared" si="210"/>
        <v>-7.1907574659863882E-3</v>
      </c>
      <c r="AJ145" s="1091">
        <v>46730</v>
      </c>
      <c r="AK145" s="1053">
        <f t="shared" si="211"/>
        <v>8.7345794392523369E-3</v>
      </c>
      <c r="AL145" s="845">
        <v>46730</v>
      </c>
      <c r="AM145" s="589">
        <f t="shared" si="212"/>
        <v>8.3446428571428578E-3</v>
      </c>
      <c r="AN145" s="985">
        <v>46730</v>
      </c>
      <c r="AO145" s="785">
        <f t="shared" si="213"/>
        <v>8.3446428571428578E-3</v>
      </c>
      <c r="AP145" s="450">
        <f t="shared" si="214"/>
        <v>-434.66666666666424</v>
      </c>
      <c r="AQ145" s="451">
        <f t="shared" si="215"/>
        <v>-9.3016620301019527E-3</v>
      </c>
      <c r="AR145" s="1015">
        <v>34929</v>
      </c>
      <c r="AS145" s="749">
        <f t="shared" si="216"/>
        <v>7.3289702365627674E-3</v>
      </c>
      <c r="AT145" s="902">
        <v>42099</v>
      </c>
      <c r="AU145" s="749">
        <f t="shared" si="217"/>
        <v>7.8396283071307856E-3</v>
      </c>
      <c r="AV145" s="450">
        <f t="shared" si="218"/>
        <v>3578</v>
      </c>
      <c r="AW145" s="482">
        <f t="shared" si="219"/>
        <v>0.10243637092387414</v>
      </c>
    </row>
    <row r="146" spans="1:49" ht="18" hidden="1" customHeight="1" thickBot="1" x14ac:dyDescent="0.3">
      <c r="A146" s="100"/>
      <c r="B146" s="101"/>
      <c r="C146" s="85" t="s">
        <v>197</v>
      </c>
      <c r="D146" s="39">
        <f>SUM(D107:D145)</f>
        <v>1202191</v>
      </c>
      <c r="E146" s="41">
        <f t="shared" si="221"/>
        <v>0.22837827241709857</v>
      </c>
      <c r="F146" s="182">
        <f>SUM(F107:F145)</f>
        <v>1221901</v>
      </c>
      <c r="G146" s="183">
        <f t="shared" si="222"/>
        <v>0.23901998560677948</v>
      </c>
      <c r="H146" s="135">
        <f>SUM(H107:H145)</f>
        <v>1216771</v>
      </c>
      <c r="I146" s="41">
        <f t="shared" si="223"/>
        <v>0.22305605443518708</v>
      </c>
      <c r="J146" s="182">
        <f>SUM(J107:J145)</f>
        <v>1208477</v>
      </c>
      <c r="K146" s="183">
        <f t="shared" si="224"/>
        <v>0.21626013699539609</v>
      </c>
      <c r="L146" s="319">
        <f>SUM(L107:L145)</f>
        <v>1234428</v>
      </c>
      <c r="M146" s="223">
        <f t="shared" si="225"/>
        <v>0.24056808951486797</v>
      </c>
      <c r="N146" s="533">
        <f>SUM(N107:N145)</f>
        <v>1143576</v>
      </c>
      <c r="O146" s="534">
        <f t="shared" si="198"/>
        <v>0.21050674543225198</v>
      </c>
      <c r="P146" s="675">
        <f>SUM(P107:P145)</f>
        <v>1172814</v>
      </c>
      <c r="Q146" s="381">
        <f t="shared" si="199"/>
        <v>0.20193819091505938</v>
      </c>
      <c r="R146" s="533">
        <f>SUM(R107:R145)</f>
        <v>1274796</v>
      </c>
      <c r="S146" s="534">
        <f t="shared" si="200"/>
        <v>0.24100724252857245</v>
      </c>
      <c r="T146" s="380">
        <f>SUM(T107:T145)</f>
        <v>1253658</v>
      </c>
      <c r="U146" s="381">
        <f t="shared" si="201"/>
        <v>0.25788979547504165</v>
      </c>
      <c r="V146" s="675">
        <f>SUM(V107:V145)</f>
        <v>1144920</v>
      </c>
      <c r="W146" s="872">
        <f t="shared" si="202"/>
        <v>0.21250512043200392</v>
      </c>
      <c r="X146" s="675">
        <f>SUM(X107:X145)</f>
        <v>1164850</v>
      </c>
      <c r="Y146" s="872">
        <f t="shared" si="203"/>
        <v>0.21639171163178131</v>
      </c>
      <c r="Z146" s="1081">
        <f>SUM(Z107:Z145)</f>
        <v>1207750</v>
      </c>
      <c r="AA146" s="1082">
        <f t="shared" si="204"/>
        <v>0.24522842639593909</v>
      </c>
      <c r="AB146" s="1155">
        <f>SUM(AB107:AB145)</f>
        <v>-35245</v>
      </c>
      <c r="AC146" s="1137"/>
      <c r="AD146" s="558">
        <f>SUM(AD107:AD145)</f>
        <v>1077651</v>
      </c>
      <c r="AE146" s="760">
        <f t="shared" si="220"/>
        <v>0.23671729766692051</v>
      </c>
      <c r="AF146" s="1176">
        <f>SUM(AF107:AF145)</f>
        <v>1062185.8499999999</v>
      </c>
      <c r="AG146" s="808">
        <f t="shared" si="208"/>
        <v>0.22317829498083774</v>
      </c>
      <c r="AH146" s="474">
        <f>SUM(AH107:AH145)</f>
        <v>15465.150000000045</v>
      </c>
      <c r="AI146" s="468">
        <f>AH146/AF146</f>
        <v>1.4559740181061579E-2</v>
      </c>
      <c r="AJ146" s="1081">
        <f>SUM(AJ107:AJ145)</f>
        <v>1242995</v>
      </c>
      <c r="AK146" s="1082">
        <f t="shared" si="211"/>
        <v>0.2323355140186916</v>
      </c>
      <c r="AL146" s="613">
        <f>SUM(AL107:AL145)</f>
        <v>1252185</v>
      </c>
      <c r="AM146" s="614">
        <f t="shared" si="212"/>
        <v>0.22360446428571429</v>
      </c>
      <c r="AN146" s="807">
        <f>SUM(AN107:AN145)</f>
        <v>1252185</v>
      </c>
      <c r="AO146" s="808">
        <f t="shared" si="213"/>
        <v>0.22360446428571429</v>
      </c>
      <c r="AP146" s="474">
        <f>SUM(AP107:AP145)</f>
        <v>34213.500000000015</v>
      </c>
      <c r="AQ146" s="468">
        <f>AP146/AN146</f>
        <v>2.7323039327255969E-2</v>
      </c>
      <c r="AR146" s="739">
        <f>SUM(AR107:AR145)</f>
        <v>1026336</v>
      </c>
      <c r="AS146" s="760">
        <f t="shared" si="216"/>
        <v>0.21535073997861046</v>
      </c>
      <c r="AT146" s="903">
        <f>SUM(AT107:AT145)</f>
        <v>1185834</v>
      </c>
      <c r="AU146" s="255">
        <f t="shared" si="217"/>
        <v>0.22082467027620914</v>
      </c>
      <c r="AV146" s="474">
        <f>SUM(AV107:AV145)</f>
        <v>51315</v>
      </c>
      <c r="AW146" s="469">
        <f t="shared" si="219"/>
        <v>4.999824618838275E-2</v>
      </c>
    </row>
    <row r="147" spans="1:49" ht="18" hidden="1" customHeight="1" thickTop="1" x14ac:dyDescent="0.25">
      <c r="A147" s="100"/>
      <c r="B147" s="101"/>
      <c r="C147" s="81"/>
      <c r="D147" s="34"/>
      <c r="E147" s="30"/>
      <c r="F147" s="186"/>
      <c r="G147" s="162"/>
      <c r="H147" s="138"/>
      <c r="I147" s="30"/>
      <c r="J147" s="186"/>
      <c r="K147" s="162"/>
      <c r="L147" s="321"/>
      <c r="M147" s="212"/>
      <c r="N147" s="537"/>
      <c r="O147" s="507"/>
      <c r="P147" s="678"/>
      <c r="Q147" s="354"/>
      <c r="R147" s="537"/>
      <c r="S147" s="507"/>
      <c r="T147" s="384"/>
      <c r="U147" s="354"/>
      <c r="V147" s="670"/>
      <c r="W147" s="671"/>
      <c r="X147" s="888"/>
      <c r="Y147" s="671"/>
      <c r="Z147" s="1073"/>
      <c r="AA147" s="1074"/>
      <c r="AB147" s="1149"/>
      <c r="AC147" s="1130"/>
      <c r="AD147" s="640"/>
      <c r="AE147" s="641"/>
      <c r="AF147" s="974"/>
      <c r="AG147" s="975"/>
      <c r="AH147" s="642"/>
      <c r="AI147" s="643"/>
      <c r="AJ147" s="1073"/>
      <c r="AK147" s="1074"/>
      <c r="AL147" s="767"/>
      <c r="AM147" s="721"/>
      <c r="AN147" s="974"/>
      <c r="AO147" s="975"/>
      <c r="AP147" s="642"/>
      <c r="AQ147" s="643"/>
      <c r="AR147" s="640"/>
      <c r="AS147" s="641"/>
      <c r="AT147" s="899"/>
      <c r="AU147" s="641"/>
      <c r="AV147" s="642"/>
      <c r="AW147" s="643"/>
    </row>
    <row r="148" spans="1:49" ht="18" hidden="1" customHeight="1" x14ac:dyDescent="0.25">
      <c r="A148" s="100"/>
      <c r="B148" s="101"/>
      <c r="C148" s="76" t="s">
        <v>27</v>
      </c>
      <c r="D148" s="29" t="s">
        <v>172</v>
      </c>
      <c r="E148" s="30"/>
      <c r="F148" s="161"/>
      <c r="G148" s="162"/>
      <c r="H148" s="123"/>
      <c r="I148" s="30"/>
      <c r="J148" s="161"/>
      <c r="K148" s="162"/>
      <c r="L148" s="305"/>
      <c r="M148" s="212"/>
      <c r="N148" s="506"/>
      <c r="O148" s="507"/>
      <c r="P148" s="654"/>
      <c r="Q148" s="354"/>
      <c r="R148" s="506"/>
      <c r="S148" s="507"/>
      <c r="T148" s="353"/>
      <c r="U148" s="354"/>
      <c r="V148" s="672"/>
      <c r="W148" s="673"/>
      <c r="X148" s="889"/>
      <c r="Y148" s="673"/>
      <c r="Z148" s="1092"/>
      <c r="AA148" s="1092"/>
      <c r="AB148" s="1149"/>
      <c r="AC148" s="1130"/>
      <c r="AD148" s="636"/>
      <c r="AE148" s="637"/>
      <c r="AF148" s="976"/>
      <c r="AG148" s="802"/>
      <c r="AH148" s="639"/>
      <c r="AI148" s="493"/>
      <c r="AJ148" s="1092"/>
      <c r="AK148" s="1092"/>
      <c r="AL148" s="638"/>
      <c r="AM148" s="638"/>
      <c r="AN148" s="802"/>
      <c r="AO148" s="802"/>
      <c r="AP148" s="639"/>
      <c r="AQ148" s="493"/>
      <c r="AR148" s="636"/>
      <c r="AS148" s="637"/>
      <c r="AT148" s="904"/>
      <c r="AU148" s="637"/>
      <c r="AV148" s="639"/>
      <c r="AW148" s="493"/>
    </row>
    <row r="149" spans="1:49" ht="18" hidden="1" customHeight="1" x14ac:dyDescent="0.25">
      <c r="A149" s="100"/>
      <c r="B149" s="101"/>
      <c r="C149" s="78" t="s">
        <v>186</v>
      </c>
      <c r="D149" s="109">
        <v>6</v>
      </c>
      <c r="E149" s="57"/>
      <c r="F149" s="180">
        <f>5+(30/37.5)+(25/37.5)</f>
        <v>6.4666666666666668</v>
      </c>
      <c r="G149" s="166"/>
      <c r="H149" s="134">
        <f>5+(30/37.5)+(25/37.5)</f>
        <v>6.4666666666666668</v>
      </c>
      <c r="I149" s="57"/>
      <c r="J149" s="180">
        <f>5+(30/37.5)+(25/37.5)</f>
        <v>6.4666666666666668</v>
      </c>
      <c r="K149" s="166"/>
      <c r="L149" s="318">
        <v>6.8</v>
      </c>
      <c r="M149" s="214"/>
      <c r="N149" s="531"/>
      <c r="O149" s="509"/>
      <c r="P149" s="674"/>
      <c r="Q149" s="356"/>
      <c r="R149" s="531"/>
      <c r="S149" s="509"/>
      <c r="T149" s="378"/>
      <c r="U149" s="356"/>
      <c r="V149" s="674"/>
      <c r="W149" s="860"/>
      <c r="X149" s="674"/>
      <c r="Y149" s="860"/>
      <c r="Z149" s="1093"/>
      <c r="AA149" s="1094"/>
      <c r="AB149" s="1157"/>
      <c r="AC149" s="1131"/>
      <c r="AD149" s="433"/>
      <c r="AE149" s="748"/>
      <c r="AF149" s="1178"/>
      <c r="AG149" s="986"/>
      <c r="AH149" s="476"/>
      <c r="AI149" s="451"/>
      <c r="AJ149" s="1093"/>
      <c r="AK149" s="1094"/>
      <c r="AL149" s="616"/>
      <c r="AM149" s="617"/>
      <c r="AN149" s="810"/>
      <c r="AO149" s="986"/>
      <c r="AP149" s="476"/>
      <c r="AQ149" s="451"/>
      <c r="AR149" s="734"/>
      <c r="AS149" s="748"/>
      <c r="AT149" s="901"/>
      <c r="AU149" s="245"/>
      <c r="AV149" s="476"/>
      <c r="AW149" s="452"/>
    </row>
    <row r="150" spans="1:49" ht="18" hidden="1" customHeight="1" x14ac:dyDescent="0.25">
      <c r="A150" s="104">
        <v>1</v>
      </c>
      <c r="B150" s="105" t="s">
        <v>103</v>
      </c>
      <c r="C150" s="77" t="s">
        <v>187</v>
      </c>
      <c r="D150" s="54">
        <v>186367</v>
      </c>
      <c r="E150" s="55">
        <f>D150/D$11</f>
        <v>3.5403836408322314E-2</v>
      </c>
      <c r="F150" s="163">
        <v>187122</v>
      </c>
      <c r="G150" s="164">
        <f>F150/F$11</f>
        <v>3.6603536413106944E-2</v>
      </c>
      <c r="H150" s="124">
        <v>190766</v>
      </c>
      <c r="I150" s="55">
        <f>H150/H$11</f>
        <v>3.4970846018176717E-2</v>
      </c>
      <c r="J150" s="163">
        <v>201900</v>
      </c>
      <c r="K150" s="164">
        <f>J150/J$11</f>
        <v>3.6130535921966633E-2</v>
      </c>
      <c r="L150" s="313">
        <v>233585</v>
      </c>
      <c r="M150" s="213">
        <f>L150/L$11</f>
        <v>4.5521567227355855E-2</v>
      </c>
      <c r="N150" s="520"/>
      <c r="O150" s="521"/>
      <c r="P150" s="663"/>
      <c r="Q150" s="368"/>
      <c r="R150" s="520"/>
      <c r="S150" s="521"/>
      <c r="T150" s="367"/>
      <c r="U150" s="368"/>
      <c r="V150" s="663"/>
      <c r="W150" s="871"/>
      <c r="X150" s="663"/>
      <c r="Y150" s="871"/>
      <c r="Z150" s="1095"/>
      <c r="AA150" s="1096"/>
      <c r="AB150" s="1144"/>
      <c r="AC150" s="1136"/>
      <c r="AD150" s="426"/>
      <c r="AE150" s="753"/>
      <c r="AF150" s="1179"/>
      <c r="AG150" s="987"/>
      <c r="AH150" s="477"/>
      <c r="AI150" s="451"/>
      <c r="AJ150" s="1095"/>
      <c r="AK150" s="1096"/>
      <c r="AL150" s="618"/>
      <c r="AM150" s="619"/>
      <c r="AN150" s="811"/>
      <c r="AO150" s="987"/>
      <c r="AP150" s="477"/>
      <c r="AQ150" s="451"/>
      <c r="AR150" s="852"/>
      <c r="AS150" s="753"/>
      <c r="AT150" s="905"/>
      <c r="AU150" s="250"/>
      <c r="AV150" s="477"/>
      <c r="AW150" s="452"/>
    </row>
    <row r="151" spans="1:49" ht="18" hidden="1" customHeight="1" x14ac:dyDescent="0.25">
      <c r="A151" s="106">
        <v>2</v>
      </c>
      <c r="B151" s="107" t="s">
        <v>104</v>
      </c>
      <c r="C151" s="78" t="s">
        <v>18</v>
      </c>
      <c r="D151" s="56">
        <v>5092</v>
      </c>
      <c r="E151" s="57">
        <f>D151/D$11</f>
        <v>9.6731897273217475E-4</v>
      </c>
      <c r="F151" s="167">
        <v>12512</v>
      </c>
      <c r="G151" s="166">
        <f>F151/F$11</f>
        <v>2.4475125725504972E-3</v>
      </c>
      <c r="H151" s="126">
        <v>9582</v>
      </c>
      <c r="I151" s="57">
        <f>H151/H$11</f>
        <v>1.756553298523685E-3</v>
      </c>
      <c r="J151" s="167">
        <v>10860</v>
      </c>
      <c r="K151" s="166">
        <f>J151/J$11</f>
        <v>1.9434255577640298E-3</v>
      </c>
      <c r="L151" s="306">
        <v>0</v>
      </c>
      <c r="M151" s="214">
        <f>L151/L$11</f>
        <v>0</v>
      </c>
      <c r="N151" s="520"/>
      <c r="O151" s="509"/>
      <c r="P151" s="663"/>
      <c r="Q151" s="356"/>
      <c r="R151" s="520"/>
      <c r="S151" s="509"/>
      <c r="T151" s="367"/>
      <c r="U151" s="356"/>
      <c r="V151" s="663"/>
      <c r="W151" s="860"/>
      <c r="X151" s="663"/>
      <c r="Y151" s="860"/>
      <c r="Z151" s="1093"/>
      <c r="AA151" s="1094"/>
      <c r="AB151" s="1144"/>
      <c r="AC151" s="1136"/>
      <c r="AD151" s="426"/>
      <c r="AE151" s="748"/>
      <c r="AF151" s="1178"/>
      <c r="AG151" s="986"/>
      <c r="AH151" s="477"/>
      <c r="AI151" s="451"/>
      <c r="AJ151" s="1093"/>
      <c r="AK151" s="1094"/>
      <c r="AL151" s="616"/>
      <c r="AM151" s="617"/>
      <c r="AN151" s="810"/>
      <c r="AO151" s="986"/>
      <c r="AP151" s="477"/>
      <c r="AQ151" s="451"/>
      <c r="AR151" s="852"/>
      <c r="AS151" s="748"/>
      <c r="AT151" s="905"/>
      <c r="AU151" s="245"/>
      <c r="AV151" s="477"/>
      <c r="AW151" s="452"/>
    </row>
    <row r="152" spans="1:49" ht="18" hidden="1" customHeight="1" x14ac:dyDescent="0.25">
      <c r="A152" s="104">
        <v>3</v>
      </c>
      <c r="B152" s="107"/>
      <c r="C152" s="78" t="s">
        <v>308</v>
      </c>
      <c r="D152" s="56"/>
      <c r="E152" s="57"/>
      <c r="F152" s="167"/>
      <c r="G152" s="166"/>
      <c r="H152" s="126"/>
      <c r="I152" s="57"/>
      <c r="J152" s="167"/>
      <c r="K152" s="166"/>
      <c r="L152" s="306">
        <v>0</v>
      </c>
      <c r="M152" s="214"/>
      <c r="N152" s="520"/>
      <c r="O152" s="509"/>
      <c r="P152" s="663"/>
      <c r="Q152" s="356"/>
      <c r="R152" s="520"/>
      <c r="S152" s="509"/>
      <c r="T152" s="367"/>
      <c r="U152" s="356"/>
      <c r="V152" s="663"/>
      <c r="W152" s="860"/>
      <c r="X152" s="663"/>
      <c r="Y152" s="860"/>
      <c r="Z152" s="1093"/>
      <c r="AA152" s="1094"/>
      <c r="AB152" s="1144"/>
      <c r="AC152" s="1136"/>
      <c r="AD152" s="426"/>
      <c r="AE152" s="748"/>
      <c r="AF152" s="1178"/>
      <c r="AG152" s="986"/>
      <c r="AH152" s="477"/>
      <c r="AI152" s="451"/>
      <c r="AJ152" s="1093"/>
      <c r="AK152" s="1094"/>
      <c r="AL152" s="616"/>
      <c r="AM152" s="617"/>
      <c r="AN152" s="810"/>
      <c r="AO152" s="986"/>
      <c r="AP152" s="477"/>
      <c r="AQ152" s="451"/>
      <c r="AR152" s="852"/>
      <c r="AS152" s="748"/>
      <c r="AT152" s="905"/>
      <c r="AU152" s="245"/>
      <c r="AV152" s="477"/>
      <c r="AW152" s="452"/>
    </row>
    <row r="153" spans="1:49" ht="18" hidden="1" customHeight="1" x14ac:dyDescent="0.25">
      <c r="A153" s="106">
        <v>4</v>
      </c>
      <c r="B153" s="107" t="s">
        <v>105</v>
      </c>
      <c r="C153" s="78" t="s">
        <v>193</v>
      </c>
      <c r="D153" s="56">
        <f>10887+1839</f>
        <v>12726</v>
      </c>
      <c r="E153" s="57">
        <f t="shared" ref="E153:E167" si="226">D153/D$11</f>
        <v>2.4175375583247558E-3</v>
      </c>
      <c r="F153" s="167">
        <f>7187+1365</f>
        <v>8552</v>
      </c>
      <c r="G153" s="166">
        <f t="shared" ref="G153:G167" si="227">F153/F$11</f>
        <v>1.6728842327726862E-3</v>
      </c>
      <c r="H153" s="126">
        <v>7943</v>
      </c>
      <c r="I153" s="57">
        <f t="shared" ref="I153:I167" si="228">H153/H$11</f>
        <v>1.4560950584610341E-3</v>
      </c>
      <c r="J153" s="167">
        <v>8004</v>
      </c>
      <c r="K153" s="166">
        <f t="shared" ref="K153:K167" si="229">J153/J$11</f>
        <v>1.4323368475454231E-3</v>
      </c>
      <c r="L153" s="306">
        <v>593</v>
      </c>
      <c r="M153" s="214">
        <f t="shared" ref="M153:M167" si="230">L153/L$11</f>
        <v>1.1556516628131952E-4</v>
      </c>
      <c r="N153" s="520"/>
      <c r="O153" s="509"/>
      <c r="P153" s="663"/>
      <c r="Q153" s="356"/>
      <c r="R153" s="520"/>
      <c r="S153" s="509"/>
      <c r="T153" s="367"/>
      <c r="U153" s="356"/>
      <c r="V153" s="663"/>
      <c r="W153" s="860"/>
      <c r="X153" s="663"/>
      <c r="Y153" s="860"/>
      <c r="Z153" s="1093"/>
      <c r="AA153" s="1094"/>
      <c r="AB153" s="1144"/>
      <c r="AC153" s="1136"/>
      <c r="AD153" s="426"/>
      <c r="AE153" s="748"/>
      <c r="AF153" s="1178"/>
      <c r="AG153" s="986"/>
      <c r="AH153" s="477"/>
      <c r="AI153" s="451"/>
      <c r="AJ153" s="1093"/>
      <c r="AK153" s="1094"/>
      <c r="AL153" s="616"/>
      <c r="AM153" s="617"/>
      <c r="AN153" s="810"/>
      <c r="AO153" s="986"/>
      <c r="AP153" s="477"/>
      <c r="AQ153" s="451"/>
      <c r="AR153" s="852"/>
      <c r="AS153" s="748"/>
      <c r="AT153" s="905"/>
      <c r="AU153" s="245"/>
      <c r="AV153" s="477"/>
      <c r="AW153" s="452"/>
    </row>
    <row r="154" spans="1:49" ht="18" hidden="1" customHeight="1" x14ac:dyDescent="0.25">
      <c r="A154" s="104">
        <v>5</v>
      </c>
      <c r="B154" s="107" t="s">
        <v>106</v>
      </c>
      <c r="C154" s="78" t="s">
        <v>188</v>
      </c>
      <c r="D154" s="56">
        <v>31838</v>
      </c>
      <c r="E154" s="57">
        <f t="shared" si="226"/>
        <v>6.0482131684695562E-3</v>
      </c>
      <c r="F154" s="167">
        <v>28564</v>
      </c>
      <c r="G154" s="166">
        <f t="shared" si="227"/>
        <v>5.5874959336902489E-3</v>
      </c>
      <c r="H154" s="126">
        <v>31548</v>
      </c>
      <c r="I154" s="57">
        <f t="shared" si="228"/>
        <v>5.7833169966421639E-3</v>
      </c>
      <c r="J154" s="167">
        <v>33863</v>
      </c>
      <c r="K154" s="166">
        <f t="shared" si="229"/>
        <v>6.0598728971052798E-3</v>
      </c>
      <c r="L154" s="306">
        <v>35083</v>
      </c>
      <c r="M154" s="214">
        <f t="shared" si="230"/>
        <v>6.837053505307813E-3</v>
      </c>
      <c r="N154" s="520"/>
      <c r="O154" s="509"/>
      <c r="P154" s="663"/>
      <c r="Q154" s="356"/>
      <c r="R154" s="520"/>
      <c r="S154" s="509"/>
      <c r="T154" s="367"/>
      <c r="U154" s="356"/>
      <c r="V154" s="663"/>
      <c r="W154" s="860"/>
      <c r="X154" s="663"/>
      <c r="Y154" s="860"/>
      <c r="Z154" s="1093"/>
      <c r="AA154" s="1094"/>
      <c r="AB154" s="1144"/>
      <c r="AC154" s="1136"/>
      <c r="AD154" s="426"/>
      <c r="AE154" s="748"/>
      <c r="AF154" s="1178"/>
      <c r="AG154" s="986"/>
      <c r="AH154" s="477"/>
      <c r="AI154" s="451"/>
      <c r="AJ154" s="1093"/>
      <c r="AK154" s="1094"/>
      <c r="AL154" s="616"/>
      <c r="AM154" s="617"/>
      <c r="AN154" s="810"/>
      <c r="AO154" s="986"/>
      <c r="AP154" s="477"/>
      <c r="AQ154" s="451"/>
      <c r="AR154" s="852"/>
      <c r="AS154" s="748"/>
      <c r="AT154" s="905"/>
      <c r="AU154" s="245"/>
      <c r="AV154" s="477"/>
      <c r="AW154" s="452"/>
    </row>
    <row r="155" spans="1:49" ht="18" hidden="1" customHeight="1" x14ac:dyDescent="0.25">
      <c r="A155" s="106">
        <v>6</v>
      </c>
      <c r="B155" s="107" t="s">
        <v>107</v>
      </c>
      <c r="C155" s="78" t="s">
        <v>284</v>
      </c>
      <c r="D155" s="56">
        <v>931</v>
      </c>
      <c r="E155" s="57">
        <f t="shared" si="226"/>
        <v>1.7686055844730062E-4</v>
      </c>
      <c r="F155" s="167">
        <v>691</v>
      </c>
      <c r="G155" s="166">
        <f t="shared" si="227"/>
        <v>1.3516873302688566E-4</v>
      </c>
      <c r="H155" s="126">
        <v>917</v>
      </c>
      <c r="I155" s="57">
        <f t="shared" si="228"/>
        <v>1.6810262729557703E-4</v>
      </c>
      <c r="J155" s="167">
        <v>886</v>
      </c>
      <c r="K155" s="166">
        <f t="shared" si="229"/>
        <v>1.5855202985073024E-4</v>
      </c>
      <c r="L155" s="306">
        <v>3800</v>
      </c>
      <c r="M155" s="214">
        <f t="shared" si="230"/>
        <v>7.4055249893594302E-4</v>
      </c>
      <c r="N155" s="520"/>
      <c r="O155" s="509"/>
      <c r="P155" s="663"/>
      <c r="Q155" s="356"/>
      <c r="R155" s="520"/>
      <c r="S155" s="509"/>
      <c r="T155" s="367"/>
      <c r="U155" s="356"/>
      <c r="V155" s="663"/>
      <c r="W155" s="860"/>
      <c r="X155" s="663"/>
      <c r="Y155" s="860"/>
      <c r="Z155" s="1093"/>
      <c r="AA155" s="1094"/>
      <c r="AB155" s="1144"/>
      <c r="AC155" s="1136"/>
      <c r="AD155" s="426"/>
      <c r="AE155" s="748"/>
      <c r="AF155" s="1178"/>
      <c r="AG155" s="986"/>
      <c r="AH155" s="477"/>
      <c r="AI155" s="451"/>
      <c r="AJ155" s="1093"/>
      <c r="AK155" s="1094"/>
      <c r="AL155" s="616"/>
      <c r="AM155" s="617"/>
      <c r="AN155" s="810"/>
      <c r="AO155" s="986"/>
      <c r="AP155" s="477"/>
      <c r="AQ155" s="451"/>
      <c r="AR155" s="852"/>
      <c r="AS155" s="748"/>
      <c r="AT155" s="905"/>
      <c r="AU155" s="245"/>
      <c r="AV155" s="477"/>
      <c r="AW155" s="452"/>
    </row>
    <row r="156" spans="1:49" ht="18" hidden="1" customHeight="1" x14ac:dyDescent="0.25">
      <c r="A156" s="104">
        <v>7</v>
      </c>
      <c r="B156" s="107" t="s">
        <v>108</v>
      </c>
      <c r="C156" s="78" t="s">
        <v>226</v>
      </c>
      <c r="D156" s="56">
        <v>152.81</v>
      </c>
      <c r="E156" s="57">
        <f t="shared" si="226"/>
        <v>2.9029067600786259E-5</v>
      </c>
      <c r="F156" s="167">
        <v>3198</v>
      </c>
      <c r="G156" s="166">
        <f t="shared" si="227"/>
        <v>6.2557106833571686E-4</v>
      </c>
      <c r="H156" s="126">
        <v>2114</v>
      </c>
      <c r="I156" s="57">
        <f t="shared" si="228"/>
        <v>3.8753430109362034E-4</v>
      </c>
      <c r="J156" s="167">
        <v>465</v>
      </c>
      <c r="K156" s="166">
        <f t="shared" si="229"/>
        <v>8.3212972777189126E-5</v>
      </c>
      <c r="L156" s="306">
        <v>714</v>
      </c>
      <c r="M156" s="214">
        <f t="shared" si="230"/>
        <v>1.3914591690533245E-4</v>
      </c>
      <c r="N156" s="520"/>
      <c r="O156" s="509"/>
      <c r="P156" s="663"/>
      <c r="Q156" s="356"/>
      <c r="R156" s="520"/>
      <c r="S156" s="509"/>
      <c r="T156" s="367"/>
      <c r="U156" s="356"/>
      <c r="V156" s="663"/>
      <c r="W156" s="860"/>
      <c r="X156" s="663"/>
      <c r="Y156" s="860"/>
      <c r="Z156" s="1093"/>
      <c r="AA156" s="1094"/>
      <c r="AB156" s="1144"/>
      <c r="AC156" s="1136"/>
      <c r="AD156" s="426"/>
      <c r="AE156" s="748"/>
      <c r="AF156" s="1178"/>
      <c r="AG156" s="986"/>
      <c r="AH156" s="477"/>
      <c r="AI156" s="451"/>
      <c r="AJ156" s="1093"/>
      <c r="AK156" s="1094"/>
      <c r="AL156" s="616"/>
      <c r="AM156" s="617"/>
      <c r="AN156" s="810"/>
      <c r="AO156" s="986"/>
      <c r="AP156" s="477"/>
      <c r="AQ156" s="451"/>
      <c r="AR156" s="852"/>
      <c r="AS156" s="748"/>
      <c r="AT156" s="905"/>
      <c r="AU156" s="245"/>
      <c r="AV156" s="477"/>
      <c r="AW156" s="452"/>
    </row>
    <row r="157" spans="1:49" ht="18" hidden="1" customHeight="1" x14ac:dyDescent="0.25">
      <c r="A157" s="106">
        <v>8</v>
      </c>
      <c r="B157" s="107" t="s">
        <v>109</v>
      </c>
      <c r="C157" s="78" t="s">
        <v>191</v>
      </c>
      <c r="D157" s="56">
        <v>1916</v>
      </c>
      <c r="E157" s="57">
        <f t="shared" si="226"/>
        <v>3.6397940922129753E-4</v>
      </c>
      <c r="F157" s="167">
        <v>1659</v>
      </c>
      <c r="G157" s="166">
        <f t="shared" si="227"/>
        <v>3.2452232719479496E-4</v>
      </c>
      <c r="H157" s="126">
        <v>1722</v>
      </c>
      <c r="I157" s="57">
        <f t="shared" si="228"/>
        <v>3.1567363599016758E-4</v>
      </c>
      <c r="J157" s="167">
        <v>1753</v>
      </c>
      <c r="K157" s="166">
        <f t="shared" si="229"/>
        <v>3.1370395973852159E-4</v>
      </c>
      <c r="L157" s="306">
        <v>1344</v>
      </c>
      <c r="M157" s="214">
        <f t="shared" si="230"/>
        <v>2.6192172593944932E-4</v>
      </c>
      <c r="N157" s="520"/>
      <c r="O157" s="509"/>
      <c r="P157" s="663"/>
      <c r="Q157" s="356"/>
      <c r="R157" s="520"/>
      <c r="S157" s="509"/>
      <c r="T157" s="367"/>
      <c r="U157" s="356"/>
      <c r="V157" s="663"/>
      <c r="W157" s="860"/>
      <c r="X157" s="663"/>
      <c r="Y157" s="860"/>
      <c r="Z157" s="1093"/>
      <c r="AA157" s="1094"/>
      <c r="AB157" s="1144"/>
      <c r="AC157" s="1136"/>
      <c r="AD157" s="426"/>
      <c r="AE157" s="748"/>
      <c r="AF157" s="1178"/>
      <c r="AG157" s="986"/>
      <c r="AH157" s="477"/>
      <c r="AI157" s="451"/>
      <c r="AJ157" s="1093"/>
      <c r="AK157" s="1094"/>
      <c r="AL157" s="616"/>
      <c r="AM157" s="617"/>
      <c r="AN157" s="810"/>
      <c r="AO157" s="986"/>
      <c r="AP157" s="477"/>
      <c r="AQ157" s="451"/>
      <c r="AR157" s="852"/>
      <c r="AS157" s="748"/>
      <c r="AT157" s="905"/>
      <c r="AU157" s="245"/>
      <c r="AV157" s="477"/>
      <c r="AW157" s="452"/>
    </row>
    <row r="158" spans="1:49" ht="18" hidden="1" customHeight="1" x14ac:dyDescent="0.25">
      <c r="A158" s="104">
        <v>9</v>
      </c>
      <c r="B158" s="107" t="s">
        <v>110</v>
      </c>
      <c r="C158" s="78" t="s">
        <v>227</v>
      </c>
      <c r="D158" s="56">
        <v>828</v>
      </c>
      <c r="E158" s="57">
        <f t="shared" si="226"/>
        <v>1.5729381567600956E-4</v>
      </c>
      <c r="F158" s="167">
        <v>937</v>
      </c>
      <c r="G158" s="166">
        <f t="shared" si="227"/>
        <v>1.8328958443732544E-4</v>
      </c>
      <c r="H158" s="126">
        <v>921</v>
      </c>
      <c r="I158" s="57">
        <f t="shared" si="228"/>
        <v>1.688358993884694E-4</v>
      </c>
      <c r="J158" s="167">
        <v>1129</v>
      </c>
      <c r="K158" s="166">
        <f t="shared" si="229"/>
        <v>2.0203751885042263E-4</v>
      </c>
      <c r="L158" s="306">
        <v>800</v>
      </c>
      <c r="M158" s="214">
        <f t="shared" si="230"/>
        <v>1.559057892496722E-4</v>
      </c>
      <c r="N158" s="520"/>
      <c r="O158" s="509"/>
      <c r="P158" s="663"/>
      <c r="Q158" s="356"/>
      <c r="R158" s="520"/>
      <c r="S158" s="509"/>
      <c r="T158" s="367"/>
      <c r="U158" s="356"/>
      <c r="V158" s="663"/>
      <c r="W158" s="860"/>
      <c r="X158" s="663"/>
      <c r="Y158" s="860"/>
      <c r="Z158" s="1093"/>
      <c r="AA158" s="1094"/>
      <c r="AB158" s="1144"/>
      <c r="AC158" s="1136"/>
      <c r="AD158" s="426"/>
      <c r="AE158" s="748"/>
      <c r="AF158" s="1178"/>
      <c r="AG158" s="986"/>
      <c r="AH158" s="477"/>
      <c r="AI158" s="451"/>
      <c r="AJ158" s="1093"/>
      <c r="AK158" s="1094"/>
      <c r="AL158" s="616"/>
      <c r="AM158" s="617"/>
      <c r="AN158" s="810"/>
      <c r="AO158" s="986"/>
      <c r="AP158" s="477"/>
      <c r="AQ158" s="451"/>
      <c r="AR158" s="852"/>
      <c r="AS158" s="748"/>
      <c r="AT158" s="905"/>
      <c r="AU158" s="245"/>
      <c r="AV158" s="477"/>
      <c r="AW158" s="452"/>
    </row>
    <row r="159" spans="1:49" ht="18" hidden="1" customHeight="1" x14ac:dyDescent="0.25">
      <c r="A159" s="106">
        <v>10</v>
      </c>
      <c r="B159" s="107" t="s">
        <v>111</v>
      </c>
      <c r="C159" s="78" t="s">
        <v>228</v>
      </c>
      <c r="D159" s="56">
        <v>13559</v>
      </c>
      <c r="E159" s="57">
        <f t="shared" si="226"/>
        <v>2.5757812158828668E-3</v>
      </c>
      <c r="F159" s="167">
        <v>9390</v>
      </c>
      <c r="G159" s="166">
        <f t="shared" si="227"/>
        <v>1.8368081087155664E-3</v>
      </c>
      <c r="H159" s="126">
        <v>13148</v>
      </c>
      <c r="I159" s="57">
        <f t="shared" si="228"/>
        <v>2.4102653693372374E-3</v>
      </c>
      <c r="J159" s="167">
        <v>13541</v>
      </c>
      <c r="K159" s="166">
        <f t="shared" si="229"/>
        <v>2.4231975577976728E-3</v>
      </c>
      <c r="L159" s="306">
        <v>13317</v>
      </c>
      <c r="M159" s="214">
        <f t="shared" si="230"/>
        <v>2.5952467442973558E-3</v>
      </c>
      <c r="N159" s="520"/>
      <c r="O159" s="509"/>
      <c r="P159" s="663"/>
      <c r="Q159" s="356"/>
      <c r="R159" s="520"/>
      <c r="S159" s="509"/>
      <c r="T159" s="367"/>
      <c r="U159" s="356"/>
      <c r="V159" s="663"/>
      <c r="W159" s="860"/>
      <c r="X159" s="663"/>
      <c r="Y159" s="860"/>
      <c r="Z159" s="1093"/>
      <c r="AA159" s="1094"/>
      <c r="AB159" s="1144"/>
      <c r="AC159" s="1136"/>
      <c r="AD159" s="426"/>
      <c r="AE159" s="748"/>
      <c r="AF159" s="1178"/>
      <c r="AG159" s="986"/>
      <c r="AH159" s="477"/>
      <c r="AI159" s="451"/>
      <c r="AJ159" s="1093"/>
      <c r="AK159" s="1094"/>
      <c r="AL159" s="616"/>
      <c r="AM159" s="617"/>
      <c r="AN159" s="810"/>
      <c r="AO159" s="986"/>
      <c r="AP159" s="477"/>
      <c r="AQ159" s="451"/>
      <c r="AR159" s="852"/>
      <c r="AS159" s="748"/>
      <c r="AT159" s="905"/>
      <c r="AU159" s="245"/>
      <c r="AV159" s="477"/>
      <c r="AW159" s="452"/>
    </row>
    <row r="160" spans="1:49" ht="18" hidden="1" customHeight="1" x14ac:dyDescent="0.25">
      <c r="A160" s="104">
        <v>11</v>
      </c>
      <c r="B160" s="107" t="s">
        <v>112</v>
      </c>
      <c r="C160" s="78" t="s">
        <v>229</v>
      </c>
      <c r="D160" s="56">
        <v>2328</v>
      </c>
      <c r="E160" s="57">
        <f t="shared" si="226"/>
        <v>4.422463803064617E-4</v>
      </c>
      <c r="F160" s="167">
        <v>4617</v>
      </c>
      <c r="G160" s="166">
        <f t="shared" si="227"/>
        <v>9.0314622342276571E-4</v>
      </c>
      <c r="H160" s="126">
        <v>5554</v>
      </c>
      <c r="I160" s="57">
        <f t="shared" si="228"/>
        <v>1.018148300981063E-3</v>
      </c>
      <c r="J160" s="167">
        <v>6798</v>
      </c>
      <c r="K160" s="166">
        <f t="shared" si="229"/>
        <v>1.2165199762136166E-3</v>
      </c>
      <c r="L160" s="306">
        <v>5571</v>
      </c>
      <c r="M160" s="214">
        <f t="shared" si="230"/>
        <v>1.0856889398874049E-3</v>
      </c>
      <c r="N160" s="520"/>
      <c r="O160" s="509"/>
      <c r="P160" s="663"/>
      <c r="Q160" s="356"/>
      <c r="R160" s="520"/>
      <c r="S160" s="509"/>
      <c r="T160" s="367"/>
      <c r="U160" s="356"/>
      <c r="V160" s="663"/>
      <c r="W160" s="860"/>
      <c r="X160" s="663"/>
      <c r="Y160" s="860"/>
      <c r="Z160" s="1093"/>
      <c r="AA160" s="1094"/>
      <c r="AB160" s="1144"/>
      <c r="AC160" s="1136"/>
      <c r="AD160" s="426"/>
      <c r="AE160" s="748"/>
      <c r="AF160" s="1178"/>
      <c r="AG160" s="986"/>
      <c r="AH160" s="477"/>
      <c r="AI160" s="451"/>
      <c r="AJ160" s="1093"/>
      <c r="AK160" s="1094"/>
      <c r="AL160" s="616"/>
      <c r="AM160" s="617"/>
      <c r="AN160" s="810"/>
      <c r="AO160" s="986"/>
      <c r="AP160" s="477"/>
      <c r="AQ160" s="451"/>
      <c r="AR160" s="852"/>
      <c r="AS160" s="748"/>
      <c r="AT160" s="905"/>
      <c r="AU160" s="245"/>
      <c r="AV160" s="477"/>
      <c r="AW160" s="452"/>
    </row>
    <row r="161" spans="1:49" ht="18" hidden="1" customHeight="1" x14ac:dyDescent="0.25">
      <c r="A161" s="106">
        <v>12</v>
      </c>
      <c r="B161" s="107" t="s">
        <v>113</v>
      </c>
      <c r="C161" s="78" t="s">
        <v>189</v>
      </c>
      <c r="D161" s="56">
        <v>3167</v>
      </c>
      <c r="E161" s="57">
        <f t="shared" si="226"/>
        <v>6.0162984812309455E-4</v>
      </c>
      <c r="F161" s="167">
        <v>4858</v>
      </c>
      <c r="G161" s="166">
        <f t="shared" si="227"/>
        <v>9.5028900874762751E-4</v>
      </c>
      <c r="H161" s="126">
        <v>3904</v>
      </c>
      <c r="I161" s="57">
        <f t="shared" si="228"/>
        <v>7.1567356266295822E-4</v>
      </c>
      <c r="J161" s="167">
        <v>4300</v>
      </c>
      <c r="K161" s="166">
        <f t="shared" si="229"/>
        <v>7.6949630740196396E-4</v>
      </c>
      <c r="L161" s="306">
        <v>4108</v>
      </c>
      <c r="M161" s="214">
        <f t="shared" si="230"/>
        <v>8.005762277970668E-4</v>
      </c>
      <c r="N161" s="520"/>
      <c r="O161" s="509"/>
      <c r="P161" s="663"/>
      <c r="Q161" s="356"/>
      <c r="R161" s="520"/>
      <c r="S161" s="509"/>
      <c r="T161" s="367"/>
      <c r="U161" s="356"/>
      <c r="V161" s="663"/>
      <c r="W161" s="860"/>
      <c r="X161" s="663"/>
      <c r="Y161" s="860"/>
      <c r="Z161" s="1093"/>
      <c r="AA161" s="1094"/>
      <c r="AB161" s="1144"/>
      <c r="AC161" s="1136"/>
      <c r="AD161" s="426"/>
      <c r="AE161" s="748"/>
      <c r="AF161" s="1178"/>
      <c r="AG161" s="986"/>
      <c r="AH161" s="477"/>
      <c r="AI161" s="451"/>
      <c r="AJ161" s="1093"/>
      <c r="AK161" s="1094"/>
      <c r="AL161" s="616"/>
      <c r="AM161" s="617"/>
      <c r="AN161" s="810"/>
      <c r="AO161" s="986"/>
      <c r="AP161" s="477"/>
      <c r="AQ161" s="451"/>
      <c r="AR161" s="852"/>
      <c r="AS161" s="748"/>
      <c r="AT161" s="905"/>
      <c r="AU161" s="245"/>
      <c r="AV161" s="477"/>
      <c r="AW161" s="452"/>
    </row>
    <row r="162" spans="1:49" ht="18" hidden="1" customHeight="1" x14ac:dyDescent="0.25">
      <c r="A162" s="104">
        <v>13</v>
      </c>
      <c r="B162" s="107" t="s">
        <v>114</v>
      </c>
      <c r="C162" s="78" t="s">
        <v>230</v>
      </c>
      <c r="D162" s="56">
        <v>34500</v>
      </c>
      <c r="E162" s="57">
        <f t="shared" si="226"/>
        <v>6.5539089865003985E-3</v>
      </c>
      <c r="F162" s="167">
        <v>34500</v>
      </c>
      <c r="G162" s="166">
        <f t="shared" si="227"/>
        <v>6.748655990488503E-3</v>
      </c>
      <c r="H162" s="126">
        <v>40000</v>
      </c>
      <c r="I162" s="57">
        <f t="shared" si="228"/>
        <v>7.3327209289237531E-3</v>
      </c>
      <c r="J162" s="167">
        <v>47350</v>
      </c>
      <c r="K162" s="166">
        <f t="shared" si="229"/>
        <v>8.4734070129030212E-3</v>
      </c>
      <c r="L162" s="306">
        <v>48000</v>
      </c>
      <c r="M162" s="214">
        <f t="shared" si="230"/>
        <v>9.3543473549803323E-3</v>
      </c>
      <c r="N162" s="520"/>
      <c r="O162" s="509"/>
      <c r="P162" s="663"/>
      <c r="Q162" s="356"/>
      <c r="R162" s="520"/>
      <c r="S162" s="509"/>
      <c r="T162" s="367"/>
      <c r="U162" s="356"/>
      <c r="V162" s="663"/>
      <c r="W162" s="860"/>
      <c r="X162" s="663"/>
      <c r="Y162" s="860"/>
      <c r="Z162" s="1093"/>
      <c r="AA162" s="1094"/>
      <c r="AB162" s="1144"/>
      <c r="AC162" s="1136"/>
      <c r="AD162" s="426"/>
      <c r="AE162" s="748"/>
      <c r="AF162" s="1178"/>
      <c r="AG162" s="986"/>
      <c r="AH162" s="477"/>
      <c r="AI162" s="451"/>
      <c r="AJ162" s="1093"/>
      <c r="AK162" s="1094"/>
      <c r="AL162" s="616"/>
      <c r="AM162" s="617"/>
      <c r="AN162" s="810"/>
      <c r="AO162" s="986"/>
      <c r="AP162" s="477"/>
      <c r="AQ162" s="451"/>
      <c r="AR162" s="852"/>
      <c r="AS162" s="748"/>
      <c r="AT162" s="905"/>
      <c r="AU162" s="245"/>
      <c r="AV162" s="477"/>
      <c r="AW162" s="452"/>
    </row>
    <row r="163" spans="1:49" ht="18" hidden="1" customHeight="1" x14ac:dyDescent="0.25">
      <c r="A163" s="106">
        <v>14</v>
      </c>
      <c r="B163" s="107" t="s">
        <v>115</v>
      </c>
      <c r="C163" s="78" t="s">
        <v>231</v>
      </c>
      <c r="D163" s="56">
        <v>11460</v>
      </c>
      <c r="E163" s="57">
        <f t="shared" si="226"/>
        <v>2.1770375937766543E-3</v>
      </c>
      <c r="F163" s="167">
        <v>6000</v>
      </c>
      <c r="G163" s="166">
        <f t="shared" si="227"/>
        <v>1.1736793026936526E-3</v>
      </c>
      <c r="H163" s="126">
        <v>8000</v>
      </c>
      <c r="I163" s="57">
        <f t="shared" si="228"/>
        <v>1.4665441857847506E-3</v>
      </c>
      <c r="J163" s="167">
        <v>3000</v>
      </c>
      <c r="K163" s="166">
        <f t="shared" si="229"/>
        <v>5.3685788888509114E-4</v>
      </c>
      <c r="L163" s="306">
        <v>3100</v>
      </c>
      <c r="M163" s="214">
        <f t="shared" si="230"/>
        <v>6.0413493334247979E-4</v>
      </c>
      <c r="N163" s="520"/>
      <c r="O163" s="509"/>
      <c r="P163" s="663"/>
      <c r="Q163" s="356"/>
      <c r="R163" s="520"/>
      <c r="S163" s="509"/>
      <c r="T163" s="367"/>
      <c r="U163" s="356"/>
      <c r="V163" s="663"/>
      <c r="W163" s="860"/>
      <c r="X163" s="663"/>
      <c r="Y163" s="860"/>
      <c r="Z163" s="1093"/>
      <c r="AA163" s="1094"/>
      <c r="AB163" s="1144"/>
      <c r="AC163" s="1136"/>
      <c r="AD163" s="426"/>
      <c r="AE163" s="748"/>
      <c r="AF163" s="1178"/>
      <c r="AG163" s="986"/>
      <c r="AH163" s="477"/>
      <c r="AI163" s="451"/>
      <c r="AJ163" s="1093"/>
      <c r="AK163" s="1094"/>
      <c r="AL163" s="616"/>
      <c r="AM163" s="617"/>
      <c r="AN163" s="810"/>
      <c r="AO163" s="986"/>
      <c r="AP163" s="477"/>
      <c r="AQ163" s="451"/>
      <c r="AR163" s="852"/>
      <c r="AS163" s="748"/>
      <c r="AT163" s="905"/>
      <c r="AU163" s="245"/>
      <c r="AV163" s="477"/>
      <c r="AW163" s="452"/>
    </row>
    <row r="164" spans="1:49" ht="18" hidden="1" customHeight="1" x14ac:dyDescent="0.25">
      <c r="A164" s="104">
        <v>15</v>
      </c>
      <c r="B164" s="107" t="s">
        <v>116</v>
      </c>
      <c r="C164" s="78" t="s">
        <v>195</v>
      </c>
      <c r="D164" s="56">
        <v>13288</v>
      </c>
      <c r="E164" s="57">
        <f t="shared" si="226"/>
        <v>2.524299785872965E-3</v>
      </c>
      <c r="F164" s="167">
        <v>9356</v>
      </c>
      <c r="G164" s="166">
        <f t="shared" si="227"/>
        <v>1.8301572593336357E-3</v>
      </c>
      <c r="H164" s="126">
        <v>5780</v>
      </c>
      <c r="I164" s="57">
        <f t="shared" si="228"/>
        <v>1.0595781742294822E-3</v>
      </c>
      <c r="J164" s="167">
        <v>6848</v>
      </c>
      <c r="K164" s="166">
        <f t="shared" si="229"/>
        <v>1.2254676076950348E-3</v>
      </c>
      <c r="L164" s="306">
        <v>12556</v>
      </c>
      <c r="M164" s="214">
        <f t="shared" si="230"/>
        <v>2.4469413622736054E-3</v>
      </c>
      <c r="N164" s="520"/>
      <c r="O164" s="509"/>
      <c r="P164" s="663"/>
      <c r="Q164" s="356"/>
      <c r="R164" s="520"/>
      <c r="S164" s="509"/>
      <c r="T164" s="367"/>
      <c r="U164" s="356"/>
      <c r="V164" s="663"/>
      <c r="W164" s="860"/>
      <c r="X164" s="663"/>
      <c r="Y164" s="860"/>
      <c r="Z164" s="1093"/>
      <c r="AA164" s="1094"/>
      <c r="AB164" s="1144"/>
      <c r="AC164" s="1136"/>
      <c r="AD164" s="426"/>
      <c r="AE164" s="748"/>
      <c r="AF164" s="1178"/>
      <c r="AG164" s="986"/>
      <c r="AH164" s="477"/>
      <c r="AI164" s="451"/>
      <c r="AJ164" s="1093"/>
      <c r="AK164" s="1094"/>
      <c r="AL164" s="616"/>
      <c r="AM164" s="617"/>
      <c r="AN164" s="810"/>
      <c r="AO164" s="986"/>
      <c r="AP164" s="477"/>
      <c r="AQ164" s="451"/>
      <c r="AR164" s="852"/>
      <c r="AS164" s="748"/>
      <c r="AT164" s="905"/>
      <c r="AU164" s="245"/>
      <c r="AV164" s="477"/>
      <c r="AW164" s="452"/>
    </row>
    <row r="165" spans="1:49" ht="18" hidden="1" customHeight="1" x14ac:dyDescent="0.25">
      <c r="A165" s="106">
        <v>16</v>
      </c>
      <c r="B165" s="107" t="s">
        <v>117</v>
      </c>
      <c r="C165" s="78" t="s">
        <v>5</v>
      </c>
      <c r="D165" s="56">
        <v>14272</v>
      </c>
      <c r="E165" s="57">
        <f t="shared" si="226"/>
        <v>2.7112286682705418E-3</v>
      </c>
      <c r="F165" s="167">
        <v>14974</v>
      </c>
      <c r="G165" s="166">
        <f t="shared" si="227"/>
        <v>2.929112313089126E-3</v>
      </c>
      <c r="H165" s="126">
        <v>14891</v>
      </c>
      <c r="I165" s="57">
        <f t="shared" si="228"/>
        <v>2.72978868381509E-3</v>
      </c>
      <c r="J165" s="167">
        <v>15362</v>
      </c>
      <c r="K165" s="166">
        <f t="shared" si="229"/>
        <v>2.7490702963509231E-3</v>
      </c>
      <c r="L165" s="306">
        <v>16694</v>
      </c>
      <c r="M165" s="214">
        <f t="shared" si="230"/>
        <v>3.2533640571675349E-3</v>
      </c>
      <c r="N165" s="520"/>
      <c r="O165" s="509"/>
      <c r="P165" s="663"/>
      <c r="Q165" s="356"/>
      <c r="R165" s="520"/>
      <c r="S165" s="509"/>
      <c r="T165" s="367"/>
      <c r="U165" s="356"/>
      <c r="V165" s="663"/>
      <c r="W165" s="860"/>
      <c r="X165" s="663"/>
      <c r="Y165" s="860"/>
      <c r="Z165" s="1093"/>
      <c r="AA165" s="1094"/>
      <c r="AB165" s="1144"/>
      <c r="AC165" s="1136"/>
      <c r="AD165" s="426"/>
      <c r="AE165" s="748"/>
      <c r="AF165" s="1178"/>
      <c r="AG165" s="986"/>
      <c r="AH165" s="477"/>
      <c r="AI165" s="451"/>
      <c r="AJ165" s="1093"/>
      <c r="AK165" s="1094"/>
      <c r="AL165" s="616"/>
      <c r="AM165" s="617"/>
      <c r="AN165" s="810"/>
      <c r="AO165" s="986"/>
      <c r="AP165" s="477"/>
      <c r="AQ165" s="451"/>
      <c r="AR165" s="852"/>
      <c r="AS165" s="748"/>
      <c r="AT165" s="905"/>
      <c r="AU165" s="245"/>
      <c r="AV165" s="477"/>
      <c r="AW165" s="452"/>
    </row>
    <row r="166" spans="1:49" ht="18" hidden="1" customHeight="1" x14ac:dyDescent="0.25">
      <c r="A166" s="104">
        <v>17</v>
      </c>
      <c r="B166" s="107" t="s">
        <v>118</v>
      </c>
      <c r="C166" s="79" t="s">
        <v>196</v>
      </c>
      <c r="D166" s="58">
        <v>13535</v>
      </c>
      <c r="E166" s="59">
        <f t="shared" si="226"/>
        <v>2.5712219748487797E-3</v>
      </c>
      <c r="F166" s="168">
        <v>16919</v>
      </c>
      <c r="G166" s="169">
        <f t="shared" si="227"/>
        <v>3.3095800203789849E-3</v>
      </c>
      <c r="H166" s="127">
        <v>17595</v>
      </c>
      <c r="I166" s="59">
        <f t="shared" si="228"/>
        <v>3.2254806186103359E-3</v>
      </c>
      <c r="J166" s="168">
        <v>20088</v>
      </c>
      <c r="K166" s="169">
        <f t="shared" si="229"/>
        <v>3.5948004239745703E-3</v>
      </c>
      <c r="L166" s="308">
        <v>20586</v>
      </c>
      <c r="M166" s="215">
        <f t="shared" si="230"/>
        <v>4.0118457218671901E-3</v>
      </c>
      <c r="N166" s="520"/>
      <c r="O166" s="512"/>
      <c r="P166" s="663"/>
      <c r="Q166" s="359"/>
      <c r="R166" s="520"/>
      <c r="S166" s="512"/>
      <c r="T166" s="367"/>
      <c r="U166" s="359"/>
      <c r="V166" s="663"/>
      <c r="W166" s="861"/>
      <c r="X166" s="663"/>
      <c r="Y166" s="861"/>
      <c r="Z166" s="1097"/>
      <c r="AA166" s="1098"/>
      <c r="AB166" s="1151"/>
      <c r="AC166" s="495"/>
      <c r="AD166" s="426"/>
      <c r="AE166" s="749"/>
      <c r="AF166" s="1180"/>
      <c r="AG166" s="988"/>
      <c r="AH166" s="478"/>
      <c r="AI166" s="451"/>
      <c r="AJ166" s="1097"/>
      <c r="AK166" s="1098"/>
      <c r="AL166" s="620"/>
      <c r="AM166" s="621"/>
      <c r="AN166" s="812"/>
      <c r="AO166" s="988"/>
      <c r="AP166" s="478"/>
      <c r="AQ166" s="451"/>
      <c r="AR166" s="852"/>
      <c r="AS166" s="749"/>
      <c r="AT166" s="905"/>
      <c r="AU166" s="246"/>
      <c r="AV166" s="478"/>
      <c r="AW166" s="482"/>
    </row>
    <row r="167" spans="1:49" ht="18" hidden="1" customHeight="1" thickBot="1" x14ac:dyDescent="0.3">
      <c r="A167" s="100"/>
      <c r="B167" s="101"/>
      <c r="C167" s="85" t="s">
        <v>197</v>
      </c>
      <c r="D167" s="39">
        <f>SUM(D150:D166)</f>
        <v>345959.81</v>
      </c>
      <c r="E167" s="41">
        <f t="shared" si="226"/>
        <v>6.5721423412375954E-2</v>
      </c>
      <c r="F167" s="182">
        <f>SUM(F150:F166)</f>
        <v>343849</v>
      </c>
      <c r="G167" s="183">
        <f t="shared" si="227"/>
        <v>6.7261409091984969E-2</v>
      </c>
      <c r="H167" s="135">
        <f>SUM(H150:H166)</f>
        <v>354385</v>
      </c>
      <c r="I167" s="41">
        <f t="shared" si="228"/>
        <v>6.4965157659916103E-2</v>
      </c>
      <c r="J167" s="182">
        <f>SUM(J150:J166)</f>
        <v>376147</v>
      </c>
      <c r="K167" s="183">
        <f t="shared" si="229"/>
        <v>6.7312494776820123E-2</v>
      </c>
      <c r="L167" s="319">
        <f>SUM(L150:L166)</f>
        <v>399851</v>
      </c>
      <c r="M167" s="223">
        <f t="shared" si="230"/>
        <v>7.7923857171588354E-2</v>
      </c>
      <c r="N167" s="533"/>
      <c r="O167" s="534"/>
      <c r="P167" s="675"/>
      <c r="Q167" s="381"/>
      <c r="R167" s="533"/>
      <c r="S167" s="534"/>
      <c r="T167" s="380"/>
      <c r="U167" s="381"/>
      <c r="V167" s="675"/>
      <c r="W167" s="872"/>
      <c r="X167" s="675"/>
      <c r="Y167" s="872"/>
      <c r="Z167" s="1099"/>
      <c r="AA167" s="1100"/>
      <c r="AB167" s="1155"/>
      <c r="AC167" s="1137"/>
      <c r="AD167" s="434"/>
      <c r="AE167" s="760"/>
      <c r="AF167" s="1181"/>
      <c r="AG167" s="989"/>
      <c r="AH167" s="479"/>
      <c r="AI167" s="468"/>
      <c r="AJ167" s="1099"/>
      <c r="AK167" s="1100"/>
      <c r="AL167" s="622"/>
      <c r="AM167" s="623"/>
      <c r="AN167" s="813"/>
      <c r="AO167" s="989"/>
      <c r="AP167" s="479"/>
      <c r="AQ167" s="468"/>
      <c r="AR167" s="735"/>
      <c r="AS167" s="760"/>
      <c r="AT167" s="906"/>
      <c r="AU167" s="255"/>
      <c r="AV167" s="479"/>
      <c r="AW167" s="469"/>
    </row>
    <row r="168" spans="1:49" ht="18" hidden="1" customHeight="1" thickTop="1" x14ac:dyDescent="0.25">
      <c r="A168" s="100"/>
      <c r="B168" s="101"/>
      <c r="C168" s="81"/>
      <c r="D168" s="34"/>
      <c r="E168" s="30"/>
      <c r="F168" s="186"/>
      <c r="G168" s="162"/>
      <c r="H168" s="138"/>
      <c r="I168" s="30"/>
      <c r="J168" s="186"/>
      <c r="K168" s="162"/>
      <c r="L168" s="321"/>
      <c r="M168" s="212"/>
      <c r="N168" s="537"/>
      <c r="O168" s="507"/>
      <c r="P168" s="678"/>
      <c r="Q168" s="354"/>
      <c r="R168" s="537"/>
      <c r="S168" s="507"/>
      <c r="T168" s="384"/>
      <c r="U168" s="354"/>
      <c r="V168" s="678"/>
      <c r="W168" s="859"/>
      <c r="X168" s="678"/>
      <c r="Y168" s="859"/>
      <c r="Z168" s="1067"/>
      <c r="AA168" s="1068"/>
      <c r="AB168" s="1149"/>
      <c r="AC168" s="1130"/>
      <c r="AD168" s="435"/>
      <c r="AE168" s="747"/>
      <c r="AF168" s="1182"/>
      <c r="AG168" s="971"/>
      <c r="AH168" s="457"/>
      <c r="AI168" s="458"/>
      <c r="AJ168" s="1067"/>
      <c r="AK168" s="1068"/>
      <c r="AL168" s="605"/>
      <c r="AM168" s="606"/>
      <c r="AN168" s="799"/>
      <c r="AO168" s="971"/>
      <c r="AP168" s="457"/>
      <c r="AQ168" s="458"/>
      <c r="AR168" s="736"/>
      <c r="AS168" s="747"/>
      <c r="AT168" s="907"/>
      <c r="AU168" s="244"/>
      <c r="AV168" s="457"/>
      <c r="AW168" s="459"/>
    </row>
    <row r="169" spans="1:49" ht="18" hidden="1" customHeight="1" x14ac:dyDescent="0.25">
      <c r="A169" s="100"/>
      <c r="B169" s="101"/>
      <c r="C169" s="76" t="s">
        <v>312</v>
      </c>
      <c r="D169" s="29"/>
      <c r="E169" s="30"/>
      <c r="F169" s="161"/>
      <c r="G169" s="162"/>
      <c r="H169" s="123"/>
      <c r="I169" s="30"/>
      <c r="J169" s="161"/>
      <c r="K169" s="162"/>
      <c r="L169" s="305"/>
      <c r="M169" s="212"/>
      <c r="N169" s="506"/>
      <c r="O169" s="507"/>
      <c r="P169" s="654"/>
      <c r="Q169" s="354"/>
      <c r="R169" s="506"/>
      <c r="S169" s="507"/>
      <c r="T169" s="353"/>
      <c r="U169" s="354"/>
      <c r="V169" s="654"/>
      <c r="W169" s="859"/>
      <c r="X169" s="654"/>
      <c r="Y169" s="859"/>
      <c r="Z169" s="1067"/>
      <c r="AA169" s="1068"/>
      <c r="AB169" s="1149"/>
      <c r="AC169" s="1130"/>
      <c r="AD169" s="419"/>
      <c r="AE169" s="747"/>
      <c r="AF169" s="1182"/>
      <c r="AG169" s="971"/>
      <c r="AH169" s="457"/>
      <c r="AI169" s="458"/>
      <c r="AJ169" s="1067"/>
      <c r="AK169" s="1068"/>
      <c r="AL169" s="605"/>
      <c r="AM169" s="606"/>
      <c r="AN169" s="799"/>
      <c r="AO169" s="971"/>
      <c r="AP169" s="457"/>
      <c r="AQ169" s="458"/>
      <c r="AR169" s="727"/>
      <c r="AS169" s="747"/>
      <c r="AT169" s="908"/>
      <c r="AU169" s="244"/>
      <c r="AV169" s="457"/>
      <c r="AW169" s="464"/>
    </row>
    <row r="170" spans="1:49" ht="18" hidden="1" customHeight="1" x14ac:dyDescent="0.25">
      <c r="A170" s="100"/>
      <c r="B170" s="101"/>
      <c r="C170" s="79"/>
      <c r="D170" s="263">
        <v>4</v>
      </c>
      <c r="E170" s="59"/>
      <c r="F170" s="264">
        <v>4</v>
      </c>
      <c r="G170" s="169"/>
      <c r="H170" s="265">
        <v>4</v>
      </c>
      <c r="I170" s="59"/>
      <c r="J170" s="264">
        <v>4</v>
      </c>
      <c r="K170" s="169"/>
      <c r="L170" s="322">
        <v>4</v>
      </c>
      <c r="M170" s="215"/>
      <c r="N170" s="538"/>
      <c r="O170" s="512"/>
      <c r="P170" s="679"/>
      <c r="Q170" s="359"/>
      <c r="R170" s="538"/>
      <c r="S170" s="512"/>
      <c r="T170" s="385"/>
      <c r="U170" s="359"/>
      <c r="V170" s="679"/>
      <c r="W170" s="861"/>
      <c r="X170" s="679"/>
      <c r="Y170" s="861"/>
      <c r="Z170" s="1097"/>
      <c r="AA170" s="1098"/>
      <c r="AB170" s="1158"/>
      <c r="AC170" s="1132"/>
      <c r="AD170" s="436"/>
      <c r="AE170" s="749"/>
      <c r="AF170" s="1180"/>
      <c r="AG170" s="988"/>
      <c r="AH170" s="480"/>
      <c r="AI170" s="481"/>
      <c r="AJ170" s="1097"/>
      <c r="AK170" s="1098"/>
      <c r="AL170" s="620"/>
      <c r="AM170" s="621"/>
      <c r="AN170" s="812"/>
      <c r="AO170" s="988"/>
      <c r="AP170" s="480"/>
      <c r="AQ170" s="481"/>
      <c r="AR170" s="737"/>
      <c r="AS170" s="749"/>
      <c r="AT170" s="909"/>
      <c r="AU170" s="246"/>
      <c r="AV170" s="480"/>
      <c r="AW170" s="452"/>
    </row>
    <row r="171" spans="1:49" ht="18" hidden="1" customHeight="1" x14ac:dyDescent="0.25">
      <c r="A171" s="106">
        <v>1</v>
      </c>
      <c r="B171" s="107" t="s">
        <v>119</v>
      </c>
      <c r="C171" s="78" t="s">
        <v>321</v>
      </c>
      <c r="D171" s="56">
        <v>130475</v>
      </c>
      <c r="E171" s="57">
        <f t="shared" ref="E171:E182" si="231">D171/D$11</f>
        <v>2.4786123913438828E-2</v>
      </c>
      <c r="F171" s="167">
        <v>138169</v>
      </c>
      <c r="G171" s="166">
        <f t="shared" ref="G171:G182" si="232">F171/F$11</f>
        <v>2.702768259564655E-2</v>
      </c>
      <c r="H171" s="126">
        <v>144985</v>
      </c>
      <c r="I171" s="57">
        <f t="shared" ref="I171:I186" si="233">H171/H$11</f>
        <v>2.6578363597000255E-2</v>
      </c>
      <c r="J171" s="167">
        <v>152026</v>
      </c>
      <c r="K171" s="166">
        <f t="shared" ref="K171:K186" si="234">J171/J$11</f>
        <v>2.7205452471881622E-2</v>
      </c>
      <c r="L171" s="306">
        <v>157207</v>
      </c>
      <c r="M171" s="214">
        <f t="shared" ref="M171:M186" si="235">L171/L$11</f>
        <v>3.0636851763216524E-2</v>
      </c>
      <c r="N171" s="508">
        <v>658811</v>
      </c>
      <c r="O171" s="509">
        <f t="shared" ref="O171:O173" si="236">N171/N$11</f>
        <v>0.12127235921789838</v>
      </c>
      <c r="P171" s="655">
        <v>524623</v>
      </c>
      <c r="Q171" s="356">
        <f t="shared" ref="Q171:Q173" si="237">P171/P$11</f>
        <v>9.0330964272622258E-2</v>
      </c>
      <c r="R171" s="508">
        <v>497129</v>
      </c>
      <c r="S171" s="509">
        <f t="shared" ref="S171:S187" si="238">R171/R$11</f>
        <v>9.3984990124684017E-2</v>
      </c>
      <c r="T171" s="355">
        <v>482327</v>
      </c>
      <c r="U171" s="356">
        <f t="shared" ref="U171:U187" si="239">T171/T$11</f>
        <v>9.9219413414256843E-2</v>
      </c>
      <c r="V171" s="655">
        <v>489924</v>
      </c>
      <c r="W171" s="860">
        <f t="shared" ref="W171" si="240">V171/V$11</f>
        <v>9.0933304180666849E-2</v>
      </c>
      <c r="X171" s="655">
        <v>560982</v>
      </c>
      <c r="Y171" s="860">
        <f t="shared" ref="Y171" si="241">X171/X$11</f>
        <v>0.10421243522738545</v>
      </c>
      <c r="Z171" s="1049">
        <v>490000</v>
      </c>
      <c r="AA171" s="1050">
        <f t="shared" ref="AA171:AA173" si="242">Z171/Z$11</f>
        <v>9.9492385786802029E-2</v>
      </c>
      <c r="AB171" s="1144">
        <f t="shared" ref="AB171:AB173" si="243">Z171-AJ171</f>
        <v>-45000</v>
      </c>
      <c r="AC171" s="1131"/>
      <c r="AD171" s="421">
        <v>446159</v>
      </c>
      <c r="AE171" s="748">
        <f t="shared" ref="AE171:AE187" si="244">AD171/AD$11</f>
        <v>9.8003484253970527E-2</v>
      </c>
      <c r="AF171" s="978">
        <f>AF11*0.1</f>
        <v>475936</v>
      </c>
      <c r="AG171" s="782">
        <f t="shared" ref="AG171:AG173" si="245">AF171/AF$11</f>
        <v>0.1</v>
      </c>
      <c r="AH171" s="1001">
        <f t="shared" ref="AH171:AH173" si="246">AD171-AF171</f>
        <v>-29777</v>
      </c>
      <c r="AI171" s="451">
        <f>AH171/AF171</f>
        <v>-6.256513480804142E-2</v>
      </c>
      <c r="AJ171" s="1049">
        <v>535000</v>
      </c>
      <c r="AK171" s="1050">
        <f t="shared" ref="AK171:AK173" si="247">AJ171/AJ$11</f>
        <v>0.1</v>
      </c>
      <c r="AL171" s="585">
        <v>560000</v>
      </c>
      <c r="AM171" s="586">
        <f t="shared" ref="AM171:AM187" si="248">AL171/AL$11</f>
        <v>0.1</v>
      </c>
      <c r="AN171" s="781">
        <v>560000</v>
      </c>
      <c r="AO171" s="782">
        <f t="shared" ref="AO171:AO173" si="249">AN171/AN$11</f>
        <v>0.1</v>
      </c>
      <c r="AP171" s="450">
        <f>$AD171-(AL171*$AX$2)</f>
        <v>-52016.999999999942</v>
      </c>
      <c r="AQ171" s="451">
        <f>AP171/AN171</f>
        <v>-9.2887499999999901E-2</v>
      </c>
      <c r="AR171" s="1016">
        <v>479068</v>
      </c>
      <c r="AS171" s="748">
        <f t="shared" ref="AS171" si="250">AR171/AR$11</f>
        <v>0.1005203445071331</v>
      </c>
      <c r="AT171" s="894">
        <v>541231</v>
      </c>
      <c r="AU171" s="245">
        <f t="shared" ref="AU171" si="251">AT171/AT$11</f>
        <v>0.10078742650173882</v>
      </c>
      <c r="AV171" s="450">
        <f t="shared" ref="AV171:AV173" si="252">AD171-AR171</f>
        <v>-32909</v>
      </c>
      <c r="AW171" s="452">
        <f>AV171/AR171</f>
        <v>-6.8693797122746661E-2</v>
      </c>
    </row>
    <row r="172" spans="1:49" ht="18" hidden="1" customHeight="1" x14ac:dyDescent="0.25">
      <c r="A172" s="104">
        <v>2</v>
      </c>
      <c r="B172" s="105"/>
      <c r="C172" s="77" t="s">
        <v>322</v>
      </c>
      <c r="D172" s="54"/>
      <c r="E172" s="55"/>
      <c r="F172" s="163"/>
      <c r="G172" s="164"/>
      <c r="H172" s="124"/>
      <c r="I172" s="55"/>
      <c r="J172" s="163"/>
      <c r="K172" s="164"/>
      <c r="L172" s="313"/>
      <c r="M172" s="213"/>
      <c r="N172" s="520">
        <v>0</v>
      </c>
      <c r="O172" s="509">
        <f t="shared" si="236"/>
        <v>0</v>
      </c>
      <c r="P172" s="663">
        <v>6351</v>
      </c>
      <c r="Q172" s="356">
        <f t="shared" si="237"/>
        <v>1.0935318392358397E-3</v>
      </c>
      <c r="R172" s="520">
        <v>4626</v>
      </c>
      <c r="S172" s="509">
        <f t="shared" si="238"/>
        <v>8.7457091482651031E-4</v>
      </c>
      <c r="T172" s="367">
        <v>2994</v>
      </c>
      <c r="U172" s="368">
        <f t="shared" si="239"/>
        <v>6.1589528216808305E-4</v>
      </c>
      <c r="V172" s="663">
        <v>4326</v>
      </c>
      <c r="W172" s="871">
        <f>V172/V$11</f>
        <v>8.0293570816201032E-4</v>
      </c>
      <c r="X172" s="663">
        <v>4971</v>
      </c>
      <c r="Y172" s="871">
        <f>X172/X$11</f>
        <v>9.2345211702930417E-4</v>
      </c>
      <c r="Z172" s="1079">
        <v>7500</v>
      </c>
      <c r="AA172" s="1050">
        <f t="shared" si="242"/>
        <v>1.5228426395939086E-3</v>
      </c>
      <c r="AB172" s="1144">
        <f t="shared" si="243"/>
        <v>0</v>
      </c>
      <c r="AC172" s="1136"/>
      <c r="AD172" s="557">
        <v>4348</v>
      </c>
      <c r="AE172" s="753">
        <f>AD172/AD$11</f>
        <v>9.5508361264989351E-4</v>
      </c>
      <c r="AF172" s="978">
        <f t="shared" ref="AF172:AF173" si="253">AJ172*$AX$3</f>
        <v>6225</v>
      </c>
      <c r="AG172" s="782">
        <f t="shared" si="245"/>
        <v>1.3079489679284609E-3</v>
      </c>
      <c r="AH172" s="1001">
        <f t="shared" si="246"/>
        <v>-1877</v>
      </c>
      <c r="AI172" s="451">
        <f>AH172/AF172</f>
        <v>-0.30152610441767069</v>
      </c>
      <c r="AJ172" s="1079">
        <v>7500</v>
      </c>
      <c r="AK172" s="1050">
        <f t="shared" si="247"/>
        <v>1.4018691588785046E-3</v>
      </c>
      <c r="AL172" s="597">
        <v>5000</v>
      </c>
      <c r="AM172" s="586">
        <f t="shared" si="248"/>
        <v>8.9285714285714283E-4</v>
      </c>
      <c r="AN172" s="805">
        <v>5000</v>
      </c>
      <c r="AO172" s="782">
        <f t="shared" si="249"/>
        <v>8.9285714285714283E-4</v>
      </c>
      <c r="AP172" s="450">
        <f>$AD172-(AL172*$AX$2)</f>
        <v>-100</v>
      </c>
      <c r="AQ172" s="451">
        <f>AP172/AN172</f>
        <v>-0.02</v>
      </c>
      <c r="AR172" s="1017">
        <v>3557</v>
      </c>
      <c r="AS172" s="753">
        <f>AR172/AR$11</f>
        <v>7.4634679296440676E-4</v>
      </c>
      <c r="AT172" s="902">
        <v>8696</v>
      </c>
      <c r="AU172" s="250">
        <f>AT172/AT$11</f>
        <v>1.6193593139696742E-3</v>
      </c>
      <c r="AV172" s="450">
        <f t="shared" si="252"/>
        <v>791</v>
      </c>
      <c r="AW172" s="452">
        <f>AV172/AR172</f>
        <v>0.22237840877143661</v>
      </c>
    </row>
    <row r="173" spans="1:49" ht="18" hidden="1" customHeight="1" x14ac:dyDescent="0.25">
      <c r="A173" s="104">
        <v>3</v>
      </c>
      <c r="B173" s="105"/>
      <c r="C173" s="77" t="s">
        <v>193</v>
      </c>
      <c r="D173" s="54"/>
      <c r="E173" s="55"/>
      <c r="F173" s="163"/>
      <c r="G173" s="164"/>
      <c r="H173" s="124"/>
      <c r="I173" s="55"/>
      <c r="J173" s="163"/>
      <c r="K173" s="164"/>
      <c r="L173" s="313"/>
      <c r="M173" s="213"/>
      <c r="N173" s="520">
        <v>0</v>
      </c>
      <c r="O173" s="509">
        <f t="shared" si="236"/>
        <v>0</v>
      </c>
      <c r="P173" s="663">
        <v>1762</v>
      </c>
      <c r="Q173" s="356">
        <f t="shared" si="237"/>
        <v>3.0338578188215238E-4</v>
      </c>
      <c r="R173" s="520">
        <v>4210</v>
      </c>
      <c r="S173" s="509">
        <f t="shared" si="238"/>
        <v>7.9592381137475322E-4</v>
      </c>
      <c r="T173" s="367">
        <v>2844</v>
      </c>
      <c r="U173" s="368">
        <f t="shared" si="239"/>
        <v>5.850388051055538E-4</v>
      </c>
      <c r="V173" s="663">
        <v>2276</v>
      </c>
      <c r="W173" s="871">
        <f>V173/V$11</f>
        <v>4.2244144054016079E-4</v>
      </c>
      <c r="X173" s="663">
        <v>1980</v>
      </c>
      <c r="Y173" s="871">
        <f>X173/X$11</f>
        <v>3.6782039664414048E-4</v>
      </c>
      <c r="Z173" s="1079">
        <v>3000</v>
      </c>
      <c r="AA173" s="1050">
        <f t="shared" si="242"/>
        <v>6.0913705583756346E-4</v>
      </c>
      <c r="AB173" s="1144">
        <f t="shared" si="243"/>
        <v>0</v>
      </c>
      <c r="AC173" s="1136"/>
      <c r="AD173" s="557">
        <v>3124</v>
      </c>
      <c r="AE173" s="753">
        <f>AD173/AD$11</f>
        <v>6.8621922859205778E-4</v>
      </c>
      <c r="AF173" s="978">
        <f t="shared" si="253"/>
        <v>2490</v>
      </c>
      <c r="AG173" s="782">
        <f t="shared" si="245"/>
        <v>5.2317958717138435E-4</v>
      </c>
      <c r="AH173" s="1001">
        <f t="shared" si="246"/>
        <v>634</v>
      </c>
      <c r="AI173" s="451">
        <f>AH173/AF173</f>
        <v>0.25461847389558234</v>
      </c>
      <c r="AJ173" s="1079">
        <v>3000</v>
      </c>
      <c r="AK173" s="1050">
        <f t="shared" si="247"/>
        <v>5.6074766355140187E-4</v>
      </c>
      <c r="AL173" s="597">
        <v>2000</v>
      </c>
      <c r="AM173" s="586">
        <f t="shared" si="248"/>
        <v>3.5714285714285714E-4</v>
      </c>
      <c r="AN173" s="805">
        <v>2000</v>
      </c>
      <c r="AO173" s="782">
        <f t="shared" si="249"/>
        <v>3.5714285714285714E-4</v>
      </c>
      <c r="AP173" s="450">
        <f>$AD173-(AL173*$AX$2)</f>
        <v>1344.8000000000002</v>
      </c>
      <c r="AQ173" s="451">
        <f>AP173/AN173</f>
        <v>0.67240000000000011</v>
      </c>
      <c r="AR173" s="1017">
        <v>822</v>
      </c>
      <c r="AS173" s="753">
        <f>AR173/AR$11</f>
        <v>1.7247598083124609E-4</v>
      </c>
      <c r="AT173" s="902">
        <v>1114</v>
      </c>
      <c r="AU173" s="250">
        <f>AT173/AT$11</f>
        <v>2.0744782379970297E-4</v>
      </c>
      <c r="AV173" s="450">
        <f t="shared" si="252"/>
        <v>2302</v>
      </c>
      <c r="AW173" s="452">
        <f>AV173/AR173</f>
        <v>2.8004866180048662</v>
      </c>
    </row>
    <row r="174" spans="1:49" ht="18" hidden="1" customHeight="1" x14ac:dyDescent="0.25">
      <c r="A174" s="104">
        <v>1</v>
      </c>
      <c r="B174" s="105" t="s">
        <v>119</v>
      </c>
      <c r="C174" s="77" t="s">
        <v>187</v>
      </c>
      <c r="D174" s="54">
        <v>130475</v>
      </c>
      <c r="E174" s="55">
        <f t="shared" si="231"/>
        <v>2.4786123913438828E-2</v>
      </c>
      <c r="F174" s="163">
        <v>138169</v>
      </c>
      <c r="G174" s="164">
        <f t="shared" si="232"/>
        <v>2.702768259564655E-2</v>
      </c>
      <c r="H174" s="124">
        <v>144985</v>
      </c>
      <c r="I174" s="55">
        <f t="shared" si="233"/>
        <v>2.6578363597000255E-2</v>
      </c>
      <c r="J174" s="163">
        <v>152026</v>
      </c>
      <c r="K174" s="164">
        <f t="shared" si="234"/>
        <v>2.7205452471881622E-2</v>
      </c>
      <c r="L174" s="313">
        <v>157207</v>
      </c>
      <c r="M174" s="213">
        <f t="shared" si="235"/>
        <v>3.0636851763216524E-2</v>
      </c>
      <c r="N174" s="520"/>
      <c r="O174" s="521"/>
      <c r="P174" s="663"/>
      <c r="Q174" s="368"/>
      <c r="R174" s="520"/>
      <c r="S174" s="521"/>
      <c r="T174" s="367"/>
      <c r="U174" s="368"/>
      <c r="V174" s="663"/>
      <c r="W174" s="871"/>
      <c r="X174" s="663"/>
      <c r="Y174" s="871"/>
      <c r="Z174" s="1079"/>
      <c r="AA174" s="1080"/>
      <c r="AB174" s="1144"/>
      <c r="AC174" s="1136"/>
      <c r="AD174" s="426"/>
      <c r="AE174" s="753"/>
      <c r="AF174" s="1183"/>
      <c r="AG174" s="806"/>
      <c r="AH174" s="1001"/>
      <c r="AI174" s="451"/>
      <c r="AJ174" s="1079"/>
      <c r="AK174" s="1080"/>
      <c r="AL174" s="597"/>
      <c r="AM174" s="598"/>
      <c r="AN174" s="805"/>
      <c r="AO174" s="806"/>
      <c r="AP174" s="450"/>
      <c r="AQ174" s="451"/>
      <c r="AR174" s="852"/>
      <c r="AS174" s="753"/>
      <c r="AT174" s="905"/>
      <c r="AU174" s="250"/>
      <c r="AV174" s="450"/>
      <c r="AW174" s="452"/>
    </row>
    <row r="175" spans="1:49" ht="18" hidden="1" customHeight="1" x14ac:dyDescent="0.25">
      <c r="A175" s="106">
        <v>2</v>
      </c>
      <c r="B175" s="107" t="s">
        <v>120</v>
      </c>
      <c r="C175" s="78" t="s">
        <v>188</v>
      </c>
      <c r="D175" s="56">
        <v>3879</v>
      </c>
      <c r="E175" s="57">
        <f t="shared" si="231"/>
        <v>7.3688733213434919E-4</v>
      </c>
      <c r="F175" s="167">
        <v>3447</v>
      </c>
      <c r="G175" s="166">
        <f t="shared" si="232"/>
        <v>6.7427875939750348E-4</v>
      </c>
      <c r="H175" s="126">
        <v>3097</v>
      </c>
      <c r="I175" s="57">
        <f t="shared" si="233"/>
        <v>5.6773591792192151E-4</v>
      </c>
      <c r="J175" s="167">
        <f>3054+135</f>
        <v>3189</v>
      </c>
      <c r="K175" s="166">
        <f t="shared" si="234"/>
        <v>5.7067993588485186E-4</v>
      </c>
      <c r="L175" s="306">
        <v>2727</v>
      </c>
      <c r="M175" s="214">
        <f t="shared" si="235"/>
        <v>5.3144385910482009E-4</v>
      </c>
      <c r="N175" s="508"/>
      <c r="O175" s="509"/>
      <c r="P175" s="655"/>
      <c r="Q175" s="356"/>
      <c r="R175" s="508"/>
      <c r="S175" s="509"/>
      <c r="T175" s="355"/>
      <c r="U175" s="356"/>
      <c r="V175" s="655"/>
      <c r="W175" s="860"/>
      <c r="X175" s="655"/>
      <c r="Y175" s="860"/>
      <c r="Z175" s="1049"/>
      <c r="AA175" s="1050"/>
      <c r="AB175" s="1157"/>
      <c r="AC175" s="1131"/>
      <c r="AD175" s="420"/>
      <c r="AE175" s="748"/>
      <c r="AF175" s="978"/>
      <c r="AG175" s="782"/>
      <c r="AH175" s="1001"/>
      <c r="AI175" s="451"/>
      <c r="AJ175" s="1049"/>
      <c r="AK175" s="1050"/>
      <c r="AL175" s="585"/>
      <c r="AM175" s="586"/>
      <c r="AN175" s="781"/>
      <c r="AO175" s="782"/>
      <c r="AP175" s="450"/>
      <c r="AQ175" s="451"/>
      <c r="AR175" s="853"/>
      <c r="AS175" s="748"/>
      <c r="AT175" s="910"/>
      <c r="AU175" s="245"/>
      <c r="AV175" s="450"/>
      <c r="AW175" s="452"/>
    </row>
    <row r="176" spans="1:49" ht="18" hidden="1" customHeight="1" x14ac:dyDescent="0.25">
      <c r="A176" s="104">
        <v>3</v>
      </c>
      <c r="B176" s="107" t="s">
        <v>121</v>
      </c>
      <c r="C176" s="78" t="s">
        <v>232</v>
      </c>
      <c r="D176" s="56">
        <v>3304</v>
      </c>
      <c r="E176" s="57">
        <f t="shared" si="231"/>
        <v>6.2765551569267592E-4</v>
      </c>
      <c r="F176" s="167">
        <v>1865</v>
      </c>
      <c r="G176" s="166">
        <f t="shared" si="232"/>
        <v>3.6481864992061037E-4</v>
      </c>
      <c r="H176" s="126">
        <v>1606</v>
      </c>
      <c r="I176" s="57">
        <f t="shared" si="233"/>
        <v>2.9440874529628868E-4</v>
      </c>
      <c r="J176" s="167">
        <v>1960</v>
      </c>
      <c r="K176" s="166">
        <f t="shared" si="234"/>
        <v>3.5074715407159288E-4</v>
      </c>
      <c r="L176" s="306">
        <v>0</v>
      </c>
      <c r="M176" s="214">
        <f t="shared" si="235"/>
        <v>0</v>
      </c>
      <c r="N176" s="508"/>
      <c r="O176" s="509"/>
      <c r="P176" s="655"/>
      <c r="Q176" s="356"/>
      <c r="R176" s="508"/>
      <c r="S176" s="509"/>
      <c r="T176" s="355"/>
      <c r="U176" s="356"/>
      <c r="V176" s="655"/>
      <c r="W176" s="860"/>
      <c r="X176" s="655"/>
      <c r="Y176" s="860"/>
      <c r="Z176" s="1049"/>
      <c r="AA176" s="1050"/>
      <c r="AB176" s="1157"/>
      <c r="AC176" s="1131"/>
      <c r="AD176" s="420"/>
      <c r="AE176" s="748"/>
      <c r="AF176" s="978"/>
      <c r="AG176" s="782"/>
      <c r="AH176" s="1001"/>
      <c r="AI176" s="451"/>
      <c r="AJ176" s="1049"/>
      <c r="AK176" s="1050"/>
      <c r="AL176" s="585"/>
      <c r="AM176" s="586"/>
      <c r="AN176" s="781"/>
      <c r="AO176" s="782"/>
      <c r="AP176" s="450"/>
      <c r="AQ176" s="451"/>
      <c r="AR176" s="853"/>
      <c r="AS176" s="748"/>
      <c r="AT176" s="910"/>
      <c r="AU176" s="245"/>
      <c r="AV176" s="450"/>
      <c r="AW176" s="452"/>
    </row>
    <row r="177" spans="1:49" ht="18" hidden="1" customHeight="1" x14ac:dyDescent="0.25">
      <c r="A177" s="106">
        <v>4</v>
      </c>
      <c r="B177" s="107" t="s">
        <v>122</v>
      </c>
      <c r="C177" s="78" t="s">
        <v>289</v>
      </c>
      <c r="D177" s="56">
        <v>2157</v>
      </c>
      <c r="E177" s="57">
        <f t="shared" si="231"/>
        <v>4.0976178793859016E-4</v>
      </c>
      <c r="F177" s="167">
        <v>21998</v>
      </c>
      <c r="G177" s="166">
        <f t="shared" si="232"/>
        <v>4.3030995501091617E-3</v>
      </c>
      <c r="H177" s="126">
        <v>6632</v>
      </c>
      <c r="I177" s="57">
        <f t="shared" si="233"/>
        <v>1.2157651300155582E-3</v>
      </c>
      <c r="J177" s="167">
        <v>7424</v>
      </c>
      <c r="K177" s="166">
        <f t="shared" si="234"/>
        <v>1.3285443223609722E-3</v>
      </c>
      <c r="L177" s="306">
        <v>6079</v>
      </c>
      <c r="M177" s="214">
        <f t="shared" si="235"/>
        <v>1.1846891160609467E-3</v>
      </c>
      <c r="N177" s="508"/>
      <c r="O177" s="509"/>
      <c r="P177" s="655"/>
      <c r="Q177" s="356"/>
      <c r="R177" s="508"/>
      <c r="S177" s="509"/>
      <c r="T177" s="355"/>
      <c r="U177" s="356"/>
      <c r="V177" s="655"/>
      <c r="W177" s="860"/>
      <c r="X177" s="655"/>
      <c r="Y177" s="860"/>
      <c r="Z177" s="1049"/>
      <c r="AA177" s="1050"/>
      <c r="AB177" s="1157"/>
      <c r="AC177" s="1131"/>
      <c r="AD177" s="420"/>
      <c r="AE177" s="748"/>
      <c r="AF177" s="978"/>
      <c r="AG177" s="782"/>
      <c r="AH177" s="1001"/>
      <c r="AI177" s="451"/>
      <c r="AJ177" s="1049"/>
      <c r="AK177" s="1050"/>
      <c r="AL177" s="585"/>
      <c r="AM177" s="586"/>
      <c r="AN177" s="781"/>
      <c r="AO177" s="782"/>
      <c r="AP177" s="450"/>
      <c r="AQ177" s="451"/>
      <c r="AR177" s="853"/>
      <c r="AS177" s="748"/>
      <c r="AT177" s="910"/>
      <c r="AU177" s="245"/>
      <c r="AV177" s="450"/>
      <c r="AW177" s="452"/>
    </row>
    <row r="178" spans="1:49" ht="18" hidden="1" customHeight="1" x14ac:dyDescent="0.25">
      <c r="A178" s="104">
        <v>5</v>
      </c>
      <c r="B178" s="107" t="s">
        <v>123</v>
      </c>
      <c r="C178" s="78" t="s">
        <v>249</v>
      </c>
      <c r="D178" s="56">
        <v>11433</v>
      </c>
      <c r="E178" s="57">
        <f t="shared" si="231"/>
        <v>2.171908447613306E-3</v>
      </c>
      <c r="F178" s="167">
        <v>1976</v>
      </c>
      <c r="G178" s="166">
        <f t="shared" si="232"/>
        <v>3.8653171702044293E-4</v>
      </c>
      <c r="H178" s="126">
        <v>4117</v>
      </c>
      <c r="I178" s="57">
        <f t="shared" si="233"/>
        <v>7.5472030160947726E-4</v>
      </c>
      <c r="J178" s="167">
        <v>10308</v>
      </c>
      <c r="K178" s="166">
        <f t="shared" si="234"/>
        <v>1.8446437062091731E-3</v>
      </c>
      <c r="L178" s="306">
        <v>7055</v>
      </c>
      <c r="M178" s="214">
        <f t="shared" si="235"/>
        <v>1.3748941789455467E-3</v>
      </c>
      <c r="N178" s="508"/>
      <c r="O178" s="509"/>
      <c r="P178" s="655"/>
      <c r="Q178" s="356"/>
      <c r="R178" s="508"/>
      <c r="S178" s="509"/>
      <c r="T178" s="355"/>
      <c r="U178" s="356"/>
      <c r="V178" s="655"/>
      <c r="W178" s="860"/>
      <c r="X178" s="655"/>
      <c r="Y178" s="860"/>
      <c r="Z178" s="1049"/>
      <c r="AA178" s="1050"/>
      <c r="AB178" s="1157"/>
      <c r="AC178" s="1131"/>
      <c r="AD178" s="420"/>
      <c r="AE178" s="748"/>
      <c r="AF178" s="978"/>
      <c r="AG178" s="782"/>
      <c r="AH178" s="1001"/>
      <c r="AI178" s="451"/>
      <c r="AJ178" s="1049"/>
      <c r="AK178" s="1050"/>
      <c r="AL178" s="585"/>
      <c r="AM178" s="586"/>
      <c r="AN178" s="781"/>
      <c r="AO178" s="782"/>
      <c r="AP178" s="450"/>
      <c r="AQ178" s="451"/>
      <c r="AR178" s="853"/>
      <c r="AS178" s="748"/>
      <c r="AT178" s="910"/>
      <c r="AU178" s="245"/>
      <c r="AV178" s="450"/>
      <c r="AW178" s="452"/>
    </row>
    <row r="179" spans="1:49" ht="18" hidden="1" customHeight="1" x14ac:dyDescent="0.25">
      <c r="A179" s="106">
        <v>6</v>
      </c>
      <c r="B179" s="107" t="s">
        <v>124</v>
      </c>
      <c r="C179" s="78" t="s">
        <v>21</v>
      </c>
      <c r="D179" s="56">
        <v>10000</v>
      </c>
      <c r="E179" s="57">
        <f t="shared" si="231"/>
        <v>1.8996837642030141E-3</v>
      </c>
      <c r="F179" s="167">
        <v>10000</v>
      </c>
      <c r="G179" s="166">
        <f t="shared" si="232"/>
        <v>1.9561321711560877E-3</v>
      </c>
      <c r="H179" s="126">
        <v>10055</v>
      </c>
      <c r="I179" s="57">
        <f t="shared" si="233"/>
        <v>1.8432627235082082E-3</v>
      </c>
      <c r="J179" s="167">
        <v>4650</v>
      </c>
      <c r="K179" s="166">
        <f t="shared" si="234"/>
        <v>8.3212972777189128E-4</v>
      </c>
      <c r="L179" s="306">
        <v>2200</v>
      </c>
      <c r="M179" s="214">
        <f t="shared" si="235"/>
        <v>4.2874092043659857E-4</v>
      </c>
      <c r="N179" s="508"/>
      <c r="O179" s="509"/>
      <c r="P179" s="655"/>
      <c r="Q179" s="356"/>
      <c r="R179" s="508"/>
      <c r="S179" s="509"/>
      <c r="T179" s="355"/>
      <c r="U179" s="356"/>
      <c r="V179" s="655"/>
      <c r="W179" s="860"/>
      <c r="X179" s="655"/>
      <c r="Y179" s="860"/>
      <c r="Z179" s="1049"/>
      <c r="AA179" s="1050"/>
      <c r="AB179" s="1157"/>
      <c r="AC179" s="1131"/>
      <c r="AD179" s="420"/>
      <c r="AE179" s="748"/>
      <c r="AF179" s="978"/>
      <c r="AG179" s="782"/>
      <c r="AH179" s="1001"/>
      <c r="AI179" s="451"/>
      <c r="AJ179" s="1049"/>
      <c r="AK179" s="1050"/>
      <c r="AL179" s="585"/>
      <c r="AM179" s="586"/>
      <c r="AN179" s="781"/>
      <c r="AO179" s="782"/>
      <c r="AP179" s="450"/>
      <c r="AQ179" s="451"/>
      <c r="AR179" s="853"/>
      <c r="AS179" s="748"/>
      <c r="AT179" s="910"/>
      <c r="AU179" s="245"/>
      <c r="AV179" s="450"/>
      <c r="AW179" s="452"/>
    </row>
    <row r="180" spans="1:49" ht="18" hidden="1" customHeight="1" x14ac:dyDescent="0.25">
      <c r="A180" s="104">
        <v>7</v>
      </c>
      <c r="B180" s="107" t="s">
        <v>125</v>
      </c>
      <c r="C180" s="78" t="s">
        <v>233</v>
      </c>
      <c r="D180" s="56">
        <v>3200</v>
      </c>
      <c r="E180" s="57">
        <f t="shared" si="231"/>
        <v>6.0789880454496456E-4</v>
      </c>
      <c r="F180" s="167">
        <v>3257</v>
      </c>
      <c r="G180" s="166">
        <f t="shared" si="232"/>
        <v>6.3711224814553776E-4</v>
      </c>
      <c r="H180" s="126">
        <v>2010</v>
      </c>
      <c r="I180" s="57">
        <f t="shared" si="233"/>
        <v>3.6846922667841856E-4</v>
      </c>
      <c r="J180" s="167">
        <v>2145</v>
      </c>
      <c r="K180" s="166">
        <f t="shared" si="234"/>
        <v>3.8385339055284015E-4</v>
      </c>
      <c r="L180" s="306">
        <v>1975</v>
      </c>
      <c r="M180" s="214">
        <f t="shared" si="235"/>
        <v>3.8489241721012828E-4</v>
      </c>
      <c r="N180" s="508"/>
      <c r="O180" s="509"/>
      <c r="P180" s="655"/>
      <c r="Q180" s="356"/>
      <c r="R180" s="508"/>
      <c r="S180" s="509"/>
      <c r="T180" s="355"/>
      <c r="U180" s="356"/>
      <c r="V180" s="655"/>
      <c r="W180" s="860"/>
      <c r="X180" s="655"/>
      <c r="Y180" s="860"/>
      <c r="Z180" s="1049"/>
      <c r="AA180" s="1050"/>
      <c r="AB180" s="1157"/>
      <c r="AC180" s="1131"/>
      <c r="AD180" s="420"/>
      <c r="AE180" s="748"/>
      <c r="AF180" s="978"/>
      <c r="AG180" s="782"/>
      <c r="AH180" s="1001"/>
      <c r="AI180" s="451"/>
      <c r="AJ180" s="1049"/>
      <c r="AK180" s="1050"/>
      <c r="AL180" s="585"/>
      <c r="AM180" s="586"/>
      <c r="AN180" s="781"/>
      <c r="AO180" s="782"/>
      <c r="AP180" s="450"/>
      <c r="AQ180" s="451"/>
      <c r="AR180" s="853"/>
      <c r="AS180" s="748"/>
      <c r="AT180" s="910"/>
      <c r="AU180" s="245"/>
      <c r="AV180" s="450"/>
      <c r="AW180" s="452"/>
    </row>
    <row r="181" spans="1:49" ht="18" hidden="1" customHeight="1" x14ac:dyDescent="0.25">
      <c r="A181" s="106">
        <v>8</v>
      </c>
      <c r="B181" s="107" t="s">
        <v>126</v>
      </c>
      <c r="C181" s="78" t="s">
        <v>234</v>
      </c>
      <c r="D181" s="56">
        <v>4963</v>
      </c>
      <c r="E181" s="57">
        <f t="shared" si="231"/>
        <v>9.4281305217395594E-4</v>
      </c>
      <c r="F181" s="167">
        <v>12407</v>
      </c>
      <c r="G181" s="166">
        <f t="shared" si="232"/>
        <v>2.4269731847533582E-3</v>
      </c>
      <c r="H181" s="126">
        <v>6681</v>
      </c>
      <c r="I181" s="57">
        <f t="shared" si="233"/>
        <v>1.2247477131534898E-3</v>
      </c>
      <c r="J181" s="167">
        <v>8289</v>
      </c>
      <c r="K181" s="166">
        <f t="shared" si="234"/>
        <v>1.4833383469895069E-3</v>
      </c>
      <c r="L181" s="306">
        <v>14359</v>
      </c>
      <c r="M181" s="214">
        <f t="shared" si="235"/>
        <v>2.7983140347950541E-3</v>
      </c>
      <c r="N181" s="508"/>
      <c r="O181" s="509"/>
      <c r="P181" s="655"/>
      <c r="Q181" s="356"/>
      <c r="R181" s="508"/>
      <c r="S181" s="509"/>
      <c r="T181" s="355"/>
      <c r="U181" s="356"/>
      <c r="V181" s="655"/>
      <c r="W181" s="860"/>
      <c r="X181" s="655"/>
      <c r="Y181" s="860"/>
      <c r="Z181" s="1049"/>
      <c r="AA181" s="1050"/>
      <c r="AB181" s="1157"/>
      <c r="AC181" s="1131"/>
      <c r="AD181" s="420"/>
      <c r="AE181" s="748"/>
      <c r="AF181" s="978"/>
      <c r="AG181" s="782"/>
      <c r="AH181" s="1001"/>
      <c r="AI181" s="451"/>
      <c r="AJ181" s="1049"/>
      <c r="AK181" s="1050"/>
      <c r="AL181" s="585"/>
      <c r="AM181" s="586"/>
      <c r="AN181" s="781"/>
      <c r="AO181" s="782"/>
      <c r="AP181" s="450"/>
      <c r="AQ181" s="451"/>
      <c r="AR181" s="853"/>
      <c r="AS181" s="748"/>
      <c r="AT181" s="910"/>
      <c r="AU181" s="245"/>
      <c r="AV181" s="450"/>
      <c r="AW181" s="452"/>
    </row>
    <row r="182" spans="1:49" ht="18" hidden="1" customHeight="1" x14ac:dyDescent="0.25">
      <c r="A182" s="104">
        <v>9</v>
      </c>
      <c r="B182" s="107" t="s">
        <v>127</v>
      </c>
      <c r="C182" s="78" t="s">
        <v>193</v>
      </c>
      <c r="D182" s="56">
        <v>6786</v>
      </c>
      <c r="E182" s="57">
        <f t="shared" si="231"/>
        <v>1.2891254023881654E-3</v>
      </c>
      <c r="F182" s="167">
        <v>6976</v>
      </c>
      <c r="G182" s="166">
        <f t="shared" si="232"/>
        <v>1.3645978025984867E-3</v>
      </c>
      <c r="H182" s="126">
        <v>7820</v>
      </c>
      <c r="I182" s="57">
        <f t="shared" si="233"/>
        <v>1.4335469416045937E-3</v>
      </c>
      <c r="J182" s="167">
        <v>7804</v>
      </c>
      <c r="K182" s="166">
        <f t="shared" si="234"/>
        <v>1.3965463216197504E-3</v>
      </c>
      <c r="L182" s="306">
        <v>6599</v>
      </c>
      <c r="M182" s="214">
        <f t="shared" si="235"/>
        <v>1.2860278790732336E-3</v>
      </c>
      <c r="N182" s="508"/>
      <c r="O182" s="509"/>
      <c r="P182" s="655"/>
      <c r="Q182" s="356"/>
      <c r="R182" s="508"/>
      <c r="S182" s="509"/>
      <c r="T182" s="355"/>
      <c r="U182" s="356"/>
      <c r="V182" s="655"/>
      <c r="W182" s="860"/>
      <c r="X182" s="655"/>
      <c r="Y182" s="860"/>
      <c r="Z182" s="1049"/>
      <c r="AA182" s="1050"/>
      <c r="AB182" s="1157"/>
      <c r="AC182" s="1131"/>
      <c r="AD182" s="420"/>
      <c r="AE182" s="748"/>
      <c r="AF182" s="978"/>
      <c r="AG182" s="782"/>
      <c r="AH182" s="1001"/>
      <c r="AI182" s="451"/>
      <c r="AJ182" s="1049"/>
      <c r="AK182" s="1050"/>
      <c r="AL182" s="585"/>
      <c r="AM182" s="586"/>
      <c r="AN182" s="781"/>
      <c r="AO182" s="782"/>
      <c r="AP182" s="450"/>
      <c r="AQ182" s="451"/>
      <c r="AR182" s="853"/>
      <c r="AS182" s="748"/>
      <c r="AT182" s="910"/>
      <c r="AU182" s="245"/>
      <c r="AV182" s="450"/>
      <c r="AW182" s="452"/>
    </row>
    <row r="183" spans="1:49" ht="18" hidden="1" customHeight="1" x14ac:dyDescent="0.25">
      <c r="A183" s="106">
        <v>10</v>
      </c>
      <c r="B183" s="107"/>
      <c r="C183" s="78" t="s">
        <v>192</v>
      </c>
      <c r="D183" s="56"/>
      <c r="E183" s="57"/>
      <c r="F183" s="167"/>
      <c r="G183" s="166"/>
      <c r="H183" s="126">
        <v>0</v>
      </c>
      <c r="I183" s="57">
        <f t="shared" si="233"/>
        <v>0</v>
      </c>
      <c r="J183" s="167">
        <v>0</v>
      </c>
      <c r="K183" s="166">
        <f t="shared" si="234"/>
        <v>0</v>
      </c>
      <c r="L183" s="306">
        <v>0</v>
      </c>
      <c r="M183" s="214">
        <f t="shared" si="235"/>
        <v>0</v>
      </c>
      <c r="N183" s="508"/>
      <c r="O183" s="509"/>
      <c r="P183" s="655"/>
      <c r="Q183" s="356"/>
      <c r="R183" s="508"/>
      <c r="S183" s="509"/>
      <c r="T183" s="355"/>
      <c r="U183" s="356"/>
      <c r="V183" s="655"/>
      <c r="W183" s="860"/>
      <c r="X183" s="655"/>
      <c r="Y183" s="860"/>
      <c r="Z183" s="1049"/>
      <c r="AA183" s="1050"/>
      <c r="AB183" s="1157"/>
      <c r="AC183" s="1131"/>
      <c r="AD183" s="420"/>
      <c r="AE183" s="748"/>
      <c r="AF183" s="978"/>
      <c r="AG183" s="782"/>
      <c r="AH183" s="1001"/>
      <c r="AI183" s="451"/>
      <c r="AJ183" s="1049"/>
      <c r="AK183" s="1050"/>
      <c r="AL183" s="585"/>
      <c r="AM183" s="586"/>
      <c r="AN183" s="781"/>
      <c r="AO183" s="782"/>
      <c r="AP183" s="450"/>
      <c r="AQ183" s="451"/>
      <c r="AR183" s="853"/>
      <c r="AS183" s="748"/>
      <c r="AT183" s="910"/>
      <c r="AU183" s="245"/>
      <c r="AV183" s="450"/>
      <c r="AW183" s="452"/>
    </row>
    <row r="184" spans="1:49" ht="18" hidden="1" customHeight="1" x14ac:dyDescent="0.25">
      <c r="A184" s="104">
        <v>11</v>
      </c>
      <c r="B184" s="107" t="s">
        <v>128</v>
      </c>
      <c r="C184" s="78" t="s">
        <v>195</v>
      </c>
      <c r="D184" s="56">
        <v>9303</v>
      </c>
      <c r="E184" s="57">
        <f>D184/D$11</f>
        <v>1.767275805838064E-3</v>
      </c>
      <c r="F184" s="167">
        <v>6908</v>
      </c>
      <c r="G184" s="166">
        <f>F184/F$11</f>
        <v>1.3512961038346255E-3</v>
      </c>
      <c r="H184" s="126">
        <v>4393</v>
      </c>
      <c r="I184" s="57">
        <f t="shared" si="233"/>
        <v>8.0531607601905112E-4</v>
      </c>
      <c r="J184" s="167">
        <v>5199</v>
      </c>
      <c r="K184" s="166">
        <f t="shared" si="234"/>
        <v>9.3037472143786288E-4</v>
      </c>
      <c r="L184" s="306">
        <v>9142</v>
      </c>
      <c r="M184" s="214">
        <f t="shared" si="235"/>
        <v>1.7816134066506292E-3</v>
      </c>
      <c r="N184" s="508"/>
      <c r="O184" s="509"/>
      <c r="P184" s="655"/>
      <c r="Q184" s="356"/>
      <c r="R184" s="508"/>
      <c r="S184" s="509"/>
      <c r="T184" s="355"/>
      <c r="U184" s="356"/>
      <c r="V184" s="655"/>
      <c r="W184" s="860"/>
      <c r="X184" s="655"/>
      <c r="Y184" s="860"/>
      <c r="Z184" s="1049"/>
      <c r="AA184" s="1050"/>
      <c r="AB184" s="1157"/>
      <c r="AC184" s="1131"/>
      <c r="AD184" s="420"/>
      <c r="AE184" s="748"/>
      <c r="AF184" s="978"/>
      <c r="AG184" s="782"/>
      <c r="AH184" s="1001"/>
      <c r="AI184" s="451"/>
      <c r="AJ184" s="1049"/>
      <c r="AK184" s="1050"/>
      <c r="AL184" s="585"/>
      <c r="AM184" s="586"/>
      <c r="AN184" s="781"/>
      <c r="AO184" s="782"/>
      <c r="AP184" s="450"/>
      <c r="AQ184" s="451"/>
      <c r="AR184" s="853"/>
      <c r="AS184" s="748"/>
      <c r="AT184" s="910"/>
      <c r="AU184" s="245"/>
      <c r="AV184" s="450"/>
      <c r="AW184" s="452"/>
    </row>
    <row r="185" spans="1:49" ht="18" hidden="1" customHeight="1" x14ac:dyDescent="0.25">
      <c r="A185" s="106">
        <v>12</v>
      </c>
      <c r="B185" s="107" t="s">
        <v>129</v>
      </c>
      <c r="C185" s="78" t="s">
        <v>5</v>
      </c>
      <c r="D185" s="56">
        <v>9830</v>
      </c>
      <c r="E185" s="57">
        <f>D185/D$11</f>
        <v>1.867389140211563E-3</v>
      </c>
      <c r="F185" s="167">
        <v>10419</v>
      </c>
      <c r="G185" s="166">
        <f>F185/F$11</f>
        <v>2.038094109127528E-3</v>
      </c>
      <c r="H185" s="126">
        <v>10962</v>
      </c>
      <c r="I185" s="57">
        <f t="shared" si="233"/>
        <v>2.0095321705715543E-3</v>
      </c>
      <c r="J185" s="167">
        <v>11415</v>
      </c>
      <c r="K185" s="166">
        <f t="shared" si="234"/>
        <v>2.0427442672077715E-3</v>
      </c>
      <c r="L185" s="306">
        <v>11737</v>
      </c>
      <c r="M185" s="214">
        <f t="shared" si="235"/>
        <v>2.2873328105292535E-3</v>
      </c>
      <c r="N185" s="508"/>
      <c r="O185" s="509"/>
      <c r="P185" s="655"/>
      <c r="Q185" s="356"/>
      <c r="R185" s="508"/>
      <c r="S185" s="509"/>
      <c r="T185" s="355"/>
      <c r="U185" s="356"/>
      <c r="V185" s="655"/>
      <c r="W185" s="860"/>
      <c r="X185" s="655"/>
      <c r="Y185" s="860"/>
      <c r="Z185" s="1049"/>
      <c r="AA185" s="1050"/>
      <c r="AB185" s="1157"/>
      <c r="AC185" s="1131"/>
      <c r="AD185" s="420"/>
      <c r="AE185" s="748"/>
      <c r="AF185" s="978"/>
      <c r="AG185" s="782"/>
      <c r="AH185" s="1001"/>
      <c r="AI185" s="451"/>
      <c r="AJ185" s="1049"/>
      <c r="AK185" s="1050"/>
      <c r="AL185" s="585"/>
      <c r="AM185" s="586"/>
      <c r="AN185" s="781"/>
      <c r="AO185" s="782"/>
      <c r="AP185" s="450"/>
      <c r="AQ185" s="451"/>
      <c r="AR185" s="853"/>
      <c r="AS185" s="748"/>
      <c r="AT185" s="910"/>
      <c r="AU185" s="245"/>
      <c r="AV185" s="450"/>
      <c r="AW185" s="452"/>
    </row>
    <row r="186" spans="1:49" ht="18" hidden="1" customHeight="1" x14ac:dyDescent="0.25">
      <c r="A186" s="104">
        <v>13</v>
      </c>
      <c r="B186" s="107" t="s">
        <v>130</v>
      </c>
      <c r="C186" s="79" t="s">
        <v>196</v>
      </c>
      <c r="D186" s="58">
        <v>9023</v>
      </c>
      <c r="E186" s="59">
        <f>D186/D$11</f>
        <v>1.7140846604403797E-3</v>
      </c>
      <c r="F186" s="168">
        <v>11279</v>
      </c>
      <c r="G186" s="169">
        <f>F186/F$11</f>
        <v>2.2063214758469515E-3</v>
      </c>
      <c r="H186" s="127">
        <v>11730</v>
      </c>
      <c r="I186" s="59">
        <f t="shared" si="233"/>
        <v>2.1503204124068906E-3</v>
      </c>
      <c r="J186" s="168">
        <v>13392</v>
      </c>
      <c r="K186" s="169">
        <f t="shared" si="234"/>
        <v>2.3965336159830469E-3</v>
      </c>
      <c r="L186" s="308">
        <v>13724</v>
      </c>
      <c r="M186" s="215">
        <f t="shared" si="235"/>
        <v>2.6745638145781268E-3</v>
      </c>
      <c r="N186" s="511"/>
      <c r="O186" s="512"/>
      <c r="P186" s="657"/>
      <c r="Q186" s="359"/>
      <c r="R186" s="511"/>
      <c r="S186" s="512"/>
      <c r="T186" s="358"/>
      <c r="U186" s="359"/>
      <c r="V186" s="657"/>
      <c r="W186" s="861"/>
      <c r="X186" s="657"/>
      <c r="Y186" s="861"/>
      <c r="Z186" s="1052"/>
      <c r="AA186" s="1053"/>
      <c r="AB186" s="1158"/>
      <c r="AC186" s="1132"/>
      <c r="AD186" s="422"/>
      <c r="AE186" s="749"/>
      <c r="AF186" s="1184"/>
      <c r="AG186" s="785"/>
      <c r="AH186" s="1001"/>
      <c r="AI186" s="481"/>
      <c r="AJ186" s="1052"/>
      <c r="AK186" s="1053"/>
      <c r="AL186" s="588"/>
      <c r="AM186" s="589"/>
      <c r="AN186" s="784"/>
      <c r="AO186" s="785"/>
      <c r="AP186" s="450"/>
      <c r="AQ186" s="481"/>
      <c r="AR186" s="854"/>
      <c r="AS186" s="749"/>
      <c r="AT186" s="911"/>
      <c r="AU186" s="246"/>
      <c r="AV186" s="450"/>
      <c r="AW186" s="482"/>
    </row>
    <row r="187" spans="1:49" ht="18" hidden="1" customHeight="1" thickBot="1" x14ac:dyDescent="0.3">
      <c r="A187" s="100"/>
      <c r="B187" s="101"/>
      <c r="C187" s="85" t="s">
        <v>197</v>
      </c>
      <c r="D187" s="39">
        <f>SUM(D171:D186)</f>
        <v>334828</v>
      </c>
      <c r="E187" s="41">
        <f>D187/D$11</f>
        <v>6.360673154005668E-2</v>
      </c>
      <c r="F187" s="182">
        <f>SUM(F171:F186)</f>
        <v>366870</v>
      </c>
      <c r="G187" s="183">
        <f>F187/F$11</f>
        <v>7.1764620963203393E-2</v>
      </c>
      <c r="H187" s="135">
        <f>SUM(H171:H186)</f>
        <v>359073</v>
      </c>
      <c r="I187" s="41">
        <f>H187/H$11</f>
        <v>6.5824552552785964E-2</v>
      </c>
      <c r="J187" s="182">
        <f>SUM(J171:J186)</f>
        <v>379827</v>
      </c>
      <c r="K187" s="183">
        <f>J187/J$11</f>
        <v>6.7971040453852508E-2</v>
      </c>
      <c r="L187" s="319">
        <f>SUM(L171:L186)</f>
        <v>390011</v>
      </c>
      <c r="M187" s="223">
        <f>L187/L$11</f>
        <v>7.6006215963817389E-2</v>
      </c>
      <c r="N187" s="533">
        <f>SUM(N171:N186)</f>
        <v>658811</v>
      </c>
      <c r="O187" s="534">
        <f t="shared" ref="O187" si="254">N187/N$11</f>
        <v>0.12127235921789838</v>
      </c>
      <c r="P187" s="675">
        <f>SUM(P171:P186)</f>
        <v>532736</v>
      </c>
      <c r="Q187" s="381">
        <f t="shared" ref="Q187" si="255">P187/P$11</f>
        <v>9.1727881893740246E-2</v>
      </c>
      <c r="R187" s="533">
        <f>SUM(R171:R186)</f>
        <v>505965</v>
      </c>
      <c r="S187" s="534">
        <f t="shared" si="238"/>
        <v>9.5655484850885278E-2</v>
      </c>
      <c r="T187" s="380">
        <f>SUM(T171:T186)</f>
        <v>488165</v>
      </c>
      <c r="U187" s="381">
        <f t="shared" si="239"/>
        <v>0.10042034750153048</v>
      </c>
      <c r="V187" s="675">
        <f>SUM(V171:V186)</f>
        <v>496526</v>
      </c>
      <c r="W187" s="872">
        <f t="shared" ref="W187" si="256">V187/V$11</f>
        <v>9.215868132936901E-2</v>
      </c>
      <c r="X187" s="675">
        <f>SUM(X171:X186)</f>
        <v>567933</v>
      </c>
      <c r="Y187" s="872">
        <f t="shared" ref="Y187" si="257">X187/X$11</f>
        <v>0.1055037077410589</v>
      </c>
      <c r="Z187" s="1081">
        <f>SUM(Z171:Z186)</f>
        <v>500500</v>
      </c>
      <c r="AA187" s="1082">
        <f t="shared" ref="AA187" si="258">Z187/Z$11</f>
        <v>0.1016243654822335</v>
      </c>
      <c r="AB187" s="1155">
        <f>SUM(AB171:AB173)</f>
        <v>-45000</v>
      </c>
      <c r="AC187" s="1137"/>
      <c r="AD187" s="558">
        <f>SUM(AD171:AD186)</f>
        <v>453631</v>
      </c>
      <c r="AE187" s="760">
        <f t="shared" si="244"/>
        <v>9.9644787095212475E-2</v>
      </c>
      <c r="AF187" s="1176">
        <f>SUM(AF171:AF186)</f>
        <v>484651</v>
      </c>
      <c r="AG187" s="808">
        <f t="shared" ref="AG187" si="259">AF187/AF$11</f>
        <v>0.10183112855509985</v>
      </c>
      <c r="AH187" s="474">
        <f>SUM(AH171:AH186)</f>
        <v>-31020</v>
      </c>
      <c r="AI187" s="468">
        <f>AH187/AF187</f>
        <v>-6.4004819963231277E-2</v>
      </c>
      <c r="AJ187" s="1081">
        <f>SUM(AJ171:AJ186)</f>
        <v>545500</v>
      </c>
      <c r="AK187" s="1082">
        <f t="shared" ref="AK187" si="260">AJ187/AJ$11</f>
        <v>0.10196261682242991</v>
      </c>
      <c r="AL187" s="613">
        <f>SUM(AL171:AL186)</f>
        <v>567000</v>
      </c>
      <c r="AM187" s="614">
        <f t="shared" si="248"/>
        <v>0.10125000000000001</v>
      </c>
      <c r="AN187" s="807">
        <f>SUM(AN171:AN186)</f>
        <v>567000</v>
      </c>
      <c r="AO187" s="808">
        <f t="shared" ref="AO187" si="261">AN187/AN$11</f>
        <v>0.10125000000000001</v>
      </c>
      <c r="AP187" s="474">
        <f>SUM(AP171:AP186)</f>
        <v>-50772.199999999939</v>
      </c>
      <c r="AQ187" s="468">
        <f>AP187/AN187</f>
        <v>-8.9545326278659507E-2</v>
      </c>
      <c r="AR187" s="739">
        <f>SUM(AR171:AR186)</f>
        <v>483447</v>
      </c>
      <c r="AS187" s="760">
        <f t="shared" ref="AS187" si="262">AR187/AR$11</f>
        <v>0.10143916728092875</v>
      </c>
      <c r="AT187" s="903">
        <f>SUM(AT171:AT186)</f>
        <v>551041</v>
      </c>
      <c r="AU187" s="255">
        <f t="shared" ref="AU187" si="263">AT187/AT$11</f>
        <v>0.1026142336395082</v>
      </c>
      <c r="AV187" s="474">
        <f>SUM(AV171:AV186)</f>
        <v>-29816</v>
      </c>
      <c r="AW187" s="469">
        <f>AV187/AR187</f>
        <v>-6.1673771892265333E-2</v>
      </c>
    </row>
    <row r="188" spans="1:49" ht="18" hidden="1" customHeight="1" thickTop="1" x14ac:dyDescent="0.25">
      <c r="A188" s="100"/>
      <c r="B188" s="101"/>
      <c r="C188" s="81"/>
      <c r="D188" s="34"/>
      <c r="E188" s="30"/>
      <c r="F188" s="186"/>
      <c r="G188" s="162"/>
      <c r="H188" s="138"/>
      <c r="I188" s="30"/>
      <c r="J188" s="186"/>
      <c r="K188" s="162"/>
      <c r="L188" s="321"/>
      <c r="M188" s="212"/>
      <c r="N188" s="537"/>
      <c r="O188" s="507"/>
      <c r="P188" s="678"/>
      <c r="Q188" s="354"/>
      <c r="R188" s="537"/>
      <c r="S188" s="507"/>
      <c r="T188" s="384"/>
      <c r="U188" s="354"/>
      <c r="V188" s="670"/>
      <c r="W188" s="671"/>
      <c r="X188" s="888"/>
      <c r="Y188" s="671"/>
      <c r="Z188" s="1073"/>
      <c r="AA188" s="1074"/>
      <c r="AB188" s="1149"/>
      <c r="AC188" s="1130"/>
      <c r="AD188" s="640"/>
      <c r="AE188" s="641"/>
      <c r="AF188" s="974"/>
      <c r="AG188" s="975"/>
      <c r="AH188" s="642"/>
      <c r="AI188" s="643"/>
      <c r="AJ188" s="1073"/>
      <c r="AK188" s="1074"/>
      <c r="AL188" s="767"/>
      <c r="AM188" s="721"/>
      <c r="AN188" s="974"/>
      <c r="AO188" s="975"/>
      <c r="AP188" s="642"/>
      <c r="AQ188" s="643"/>
      <c r="AR188" s="640"/>
      <c r="AS188" s="641"/>
      <c r="AT188" s="899"/>
      <c r="AU188" s="641"/>
      <c r="AV188" s="642"/>
      <c r="AW188" s="643"/>
    </row>
    <row r="189" spans="1:49" ht="18" hidden="1" customHeight="1" x14ac:dyDescent="0.25">
      <c r="A189" s="100"/>
      <c r="B189" s="101"/>
      <c r="C189" s="76" t="s">
        <v>235</v>
      </c>
      <c r="D189" s="29"/>
      <c r="E189" s="30"/>
      <c r="F189" s="161"/>
      <c r="G189" s="162"/>
      <c r="H189" s="123"/>
      <c r="I189" s="30"/>
      <c r="J189" s="161"/>
      <c r="K189" s="162"/>
      <c r="L189" s="305"/>
      <c r="M189" s="212"/>
      <c r="N189" s="506"/>
      <c r="O189" s="507"/>
      <c r="P189" s="654"/>
      <c r="Q189" s="354"/>
      <c r="R189" s="506"/>
      <c r="S189" s="507"/>
      <c r="T189" s="353"/>
      <c r="U189" s="354"/>
      <c r="V189" s="672"/>
      <c r="W189" s="673"/>
      <c r="X189" s="889"/>
      <c r="Y189" s="673"/>
      <c r="Z189" s="1075"/>
      <c r="AA189" s="1076"/>
      <c r="AB189" s="1149"/>
      <c r="AC189" s="1130"/>
      <c r="AD189" s="636"/>
      <c r="AE189" s="637"/>
      <c r="AF189" s="976"/>
      <c r="AG189" s="977"/>
      <c r="AH189" s="639"/>
      <c r="AI189" s="493"/>
      <c r="AJ189" s="1075"/>
      <c r="AK189" s="1076"/>
      <c r="AL189" s="720"/>
      <c r="AM189" s="719"/>
      <c r="AN189" s="976"/>
      <c r="AO189" s="977"/>
      <c r="AP189" s="639"/>
      <c r="AQ189" s="493"/>
      <c r="AR189" s="636"/>
      <c r="AS189" s="637"/>
      <c r="AT189" s="904"/>
      <c r="AU189" s="637"/>
      <c r="AV189" s="639"/>
      <c r="AW189" s="493"/>
    </row>
    <row r="190" spans="1:49" ht="18" hidden="1" customHeight="1" x14ac:dyDescent="0.25">
      <c r="A190" s="100"/>
      <c r="B190" s="101"/>
      <c r="C190" s="78" t="s">
        <v>186</v>
      </c>
      <c r="D190" s="109">
        <v>2</v>
      </c>
      <c r="E190" s="112"/>
      <c r="F190" s="180">
        <v>2</v>
      </c>
      <c r="G190" s="187"/>
      <c r="H190" s="134">
        <v>2</v>
      </c>
      <c r="I190" s="112"/>
      <c r="J190" s="180">
        <v>2</v>
      </c>
      <c r="K190" s="187"/>
      <c r="L190" s="318">
        <v>2</v>
      </c>
      <c r="M190" s="225"/>
      <c r="N190" s="531">
        <v>2</v>
      </c>
      <c r="O190" s="539"/>
      <c r="P190" s="674">
        <v>2</v>
      </c>
      <c r="Q190" s="386"/>
      <c r="R190" s="531">
        <v>2</v>
      </c>
      <c r="S190" s="539"/>
      <c r="T190" s="378">
        <v>2</v>
      </c>
      <c r="U190" s="386"/>
      <c r="V190" s="674">
        <v>2</v>
      </c>
      <c r="W190" s="874"/>
      <c r="X190" s="674">
        <v>2</v>
      </c>
      <c r="Y190" s="874"/>
      <c r="Z190" s="1077">
        <v>3</v>
      </c>
      <c r="AA190" s="1101"/>
      <c r="AB190" s="1156"/>
      <c r="AC190" s="1139"/>
      <c r="AD190" s="433">
        <v>2</v>
      </c>
      <c r="AE190" s="762"/>
      <c r="AF190" s="1177">
        <v>2</v>
      </c>
      <c r="AG190" s="814"/>
      <c r="AH190" s="475"/>
      <c r="AI190" s="451"/>
      <c r="AJ190" s="1077">
        <v>2</v>
      </c>
      <c r="AK190" s="1101"/>
      <c r="AL190" s="611">
        <v>2</v>
      </c>
      <c r="AM190" s="624"/>
      <c r="AN190" s="803">
        <v>2</v>
      </c>
      <c r="AO190" s="814"/>
      <c r="AP190" s="475"/>
      <c r="AQ190" s="451"/>
      <c r="AR190" s="734">
        <v>2</v>
      </c>
      <c r="AS190" s="762"/>
      <c r="AT190" s="901">
        <v>2</v>
      </c>
      <c r="AU190" s="257"/>
      <c r="AV190" s="475"/>
      <c r="AW190" s="452"/>
    </row>
    <row r="191" spans="1:49" ht="18" hidden="1" customHeight="1" x14ac:dyDescent="0.25">
      <c r="A191" s="104">
        <v>1</v>
      </c>
      <c r="B191" s="105" t="s">
        <v>131</v>
      </c>
      <c r="C191" s="77" t="s">
        <v>187</v>
      </c>
      <c r="D191" s="54">
        <v>111852</v>
      </c>
      <c r="E191" s="55">
        <f t="shared" ref="E191:E197" si="264">D191/D$11</f>
        <v>2.1248342839363554E-2</v>
      </c>
      <c r="F191" s="163">
        <v>114910</v>
      </c>
      <c r="G191" s="164">
        <f t="shared" ref="G191:G197" si="265">F191/F$11</f>
        <v>2.2477914778754604E-2</v>
      </c>
      <c r="H191" s="124">
        <v>120565</v>
      </c>
      <c r="I191" s="55">
        <f t="shared" ref="I191:I197" si="266">H191/H$11</f>
        <v>2.2101737469892305E-2</v>
      </c>
      <c r="J191" s="163">
        <v>124129</v>
      </c>
      <c r="K191" s="164">
        <f t="shared" ref="K191:K197" si="267">J191/J$11</f>
        <v>2.2213210963139159E-2</v>
      </c>
      <c r="L191" s="313">
        <v>126822</v>
      </c>
      <c r="M191" s="213">
        <f t="shared" ref="M191:M197" si="268">L191/L$11</f>
        <v>2.4715355005277412E-2</v>
      </c>
      <c r="N191" s="520">
        <v>128430</v>
      </c>
      <c r="O191" s="521">
        <f t="shared" ref="O191:O198" si="269">N191/N$11</f>
        <v>2.3641088406773248E-2</v>
      </c>
      <c r="P191" s="663">
        <v>92882</v>
      </c>
      <c r="Q191" s="368">
        <f t="shared" ref="Q191:Q198" si="270">P191/P$11</f>
        <v>1.599266639771741E-2</v>
      </c>
      <c r="R191" s="520">
        <v>94973</v>
      </c>
      <c r="S191" s="521">
        <f t="shared" ref="S191:S198" si="271">R191/R$11</f>
        <v>1.7955171529143572E-2</v>
      </c>
      <c r="T191" s="367">
        <v>99684</v>
      </c>
      <c r="U191" s="368">
        <f t="shared" ref="U191:U198" si="272">T191/T$11</f>
        <v>2.0505980396674412E-2</v>
      </c>
      <c r="V191" s="663">
        <v>75137</v>
      </c>
      <c r="W191" s="871">
        <f t="shared" ref="W191:W198" si="273">V191/V$11</f>
        <v>1.3945950139659958E-2</v>
      </c>
      <c r="X191" s="663">
        <v>72624</v>
      </c>
      <c r="Y191" s="871">
        <f t="shared" ref="Y191:Y198" si="274">X191/X$11</f>
        <v>1.3491206306002049E-2</v>
      </c>
      <c r="Z191" s="1084">
        <v>105315</v>
      </c>
      <c r="AA191" s="1080">
        <f t="shared" ref="AA191:AA198" si="275">Z191/Z$11</f>
        <v>2.1383756345177665E-2</v>
      </c>
      <c r="AB191" s="1144">
        <f t="shared" ref="AB191:AB197" si="276">Z191-AJ191</f>
        <v>15555</v>
      </c>
      <c r="AC191" s="1136"/>
      <c r="AD191" s="557">
        <v>77087</v>
      </c>
      <c r="AE191" s="753">
        <f t="shared" ref="AE191:AE198" si="277">AD191/AD$11</f>
        <v>1.6932964684531357E-2</v>
      </c>
      <c r="AF191" s="978">
        <f t="shared" ref="AF191:AF197" si="278">AJ191*$AX$3</f>
        <v>74500.800000000003</v>
      </c>
      <c r="AG191" s="806">
        <f t="shared" ref="AG191:AG198" si="279">AF191/AF$11</f>
        <v>1.565353324816782E-2</v>
      </c>
      <c r="AH191" s="1001">
        <f t="shared" ref="AH191:AH197" si="280">AD191-AF191</f>
        <v>2586.1999999999971</v>
      </c>
      <c r="AI191" s="451">
        <f t="shared" ref="AI191:AI197" si="281">AH191/AF191</f>
        <v>3.471372119494015E-2</v>
      </c>
      <c r="AJ191" s="1084">
        <v>89760</v>
      </c>
      <c r="AK191" s="1080">
        <f t="shared" ref="AK191:AK198" si="282">AJ191/AJ$11</f>
        <v>1.6777570093457945E-2</v>
      </c>
      <c r="AL191" s="840">
        <v>78885</v>
      </c>
      <c r="AM191" s="598">
        <f t="shared" ref="AM191:AM198" si="283">AL191/AL$11</f>
        <v>1.4086607142857142E-2</v>
      </c>
      <c r="AN191" s="978">
        <v>78885</v>
      </c>
      <c r="AO191" s="806">
        <f t="shared" ref="AO191:AO198" si="284">AN191/AN$11</f>
        <v>1.4086607142857142E-2</v>
      </c>
      <c r="AP191" s="450">
        <f t="shared" ref="AP191:AP197" si="285">$AD191-(AL191/12*$AX$1)</f>
        <v>11349.5</v>
      </c>
      <c r="AQ191" s="451">
        <f t="shared" ref="AQ191:AQ197" si="286">AP191/AN191</f>
        <v>0.14387399378842619</v>
      </c>
      <c r="AR191" s="1003">
        <v>61118</v>
      </c>
      <c r="AS191" s="753">
        <f t="shared" ref="AS191:AS198" si="287">AR191/AR$11</f>
        <v>1.2824071771829804E-2</v>
      </c>
      <c r="AT191" s="902">
        <v>74092</v>
      </c>
      <c r="AU191" s="753">
        <f t="shared" ref="AU191:AU198" si="288">AT191/AT$11</f>
        <v>1.3797328690276117E-2</v>
      </c>
      <c r="AV191" s="450">
        <f t="shared" ref="AV191:AV197" si="289">AD191-AR191</f>
        <v>15969</v>
      </c>
      <c r="AW191" s="452">
        <f t="shared" ref="AW191:AW198" si="290">AV191/AR191</f>
        <v>0.26128145554501131</v>
      </c>
    </row>
    <row r="192" spans="1:49" ht="18" hidden="1" customHeight="1" x14ac:dyDescent="0.25">
      <c r="A192" s="104">
        <v>2</v>
      </c>
      <c r="B192" s="107" t="s">
        <v>132</v>
      </c>
      <c r="C192" s="78" t="s">
        <v>188</v>
      </c>
      <c r="D192" s="56">
        <v>1628</v>
      </c>
      <c r="E192" s="57">
        <f t="shared" si="264"/>
        <v>3.0926851681225068E-4</v>
      </c>
      <c r="F192" s="167">
        <v>1489</v>
      </c>
      <c r="G192" s="166">
        <f t="shared" si="265"/>
        <v>2.9126808028514145E-4</v>
      </c>
      <c r="H192" s="126">
        <v>2019</v>
      </c>
      <c r="I192" s="57">
        <f t="shared" si="266"/>
        <v>3.7011908888742642E-4</v>
      </c>
      <c r="J192" s="167">
        <v>1100</v>
      </c>
      <c r="K192" s="166">
        <f t="shared" si="267"/>
        <v>1.9684789259120008E-4</v>
      </c>
      <c r="L192" s="306">
        <v>2488</v>
      </c>
      <c r="M192" s="214">
        <f t="shared" si="268"/>
        <v>4.8486700456648059E-4</v>
      </c>
      <c r="N192" s="508">
        <v>1104</v>
      </c>
      <c r="O192" s="509">
        <f t="shared" si="269"/>
        <v>2.0322168964476885E-4</v>
      </c>
      <c r="P192" s="655">
        <v>686</v>
      </c>
      <c r="Q192" s="356">
        <f t="shared" si="270"/>
        <v>1.1811727943879485E-4</v>
      </c>
      <c r="R192" s="508">
        <v>701</v>
      </c>
      <c r="S192" s="509">
        <f t="shared" si="271"/>
        <v>1.3252793153769644E-4</v>
      </c>
      <c r="T192" s="355">
        <v>199</v>
      </c>
      <c r="U192" s="356">
        <f t="shared" si="272"/>
        <v>4.0936259569622085E-5</v>
      </c>
      <c r="V192" s="655">
        <v>1164</v>
      </c>
      <c r="W192" s="860">
        <f t="shared" si="273"/>
        <v>2.1604650122528435E-4</v>
      </c>
      <c r="X192" s="655">
        <v>1206</v>
      </c>
      <c r="Y192" s="860">
        <f t="shared" si="274"/>
        <v>2.2403605977415827E-4</v>
      </c>
      <c r="Z192" s="1084">
        <v>1000</v>
      </c>
      <c r="AA192" s="1050">
        <f t="shared" si="275"/>
        <v>2.0304568527918781E-4</v>
      </c>
      <c r="AB192" s="1144">
        <f t="shared" si="276"/>
        <v>0</v>
      </c>
      <c r="AC192" s="1136"/>
      <c r="AD192" s="557">
        <v>892</v>
      </c>
      <c r="AE192" s="748">
        <f t="shared" si="277"/>
        <v>1.959371164865927E-4</v>
      </c>
      <c r="AF192" s="978">
        <f t="shared" si="278"/>
        <v>830</v>
      </c>
      <c r="AG192" s="782">
        <f t="shared" si="279"/>
        <v>1.7439319572379479E-4</v>
      </c>
      <c r="AH192" s="1001">
        <f t="shared" si="280"/>
        <v>62</v>
      </c>
      <c r="AI192" s="451">
        <f t="shared" si="281"/>
        <v>7.4698795180722893E-2</v>
      </c>
      <c r="AJ192" s="1084">
        <v>1000</v>
      </c>
      <c r="AK192" s="1050">
        <f t="shared" si="282"/>
        <v>1.8691588785046728E-4</v>
      </c>
      <c r="AL192" s="840">
        <v>1250</v>
      </c>
      <c r="AM192" s="586">
        <f t="shared" si="283"/>
        <v>2.2321428571428571E-4</v>
      </c>
      <c r="AN192" s="978">
        <v>1250</v>
      </c>
      <c r="AO192" s="782">
        <f t="shared" si="284"/>
        <v>2.2321428571428571E-4</v>
      </c>
      <c r="AP192" s="450">
        <f t="shared" si="285"/>
        <v>-149.66666666666674</v>
      </c>
      <c r="AQ192" s="451">
        <f t="shared" si="286"/>
        <v>-0.1197333333333334</v>
      </c>
      <c r="AR192" s="1003">
        <v>1068</v>
      </c>
      <c r="AS192" s="748">
        <f t="shared" si="287"/>
        <v>2.2409288020410078E-4</v>
      </c>
      <c r="AT192" s="902">
        <v>1068</v>
      </c>
      <c r="AU192" s="748">
        <f t="shared" si="288"/>
        <v>1.9888175567152853E-4</v>
      </c>
      <c r="AV192" s="450">
        <f t="shared" si="289"/>
        <v>-176</v>
      </c>
      <c r="AW192" s="452">
        <f t="shared" si="290"/>
        <v>-0.16479400749063669</v>
      </c>
    </row>
    <row r="193" spans="1:50" ht="18" hidden="1" customHeight="1" x14ac:dyDescent="0.25">
      <c r="A193" s="956">
        <v>3</v>
      </c>
      <c r="B193" s="107" t="s">
        <v>133</v>
      </c>
      <c r="C193" s="78" t="s">
        <v>193</v>
      </c>
      <c r="D193" s="56">
        <v>1962</v>
      </c>
      <c r="E193" s="57">
        <f t="shared" si="264"/>
        <v>3.7271795453663138E-4</v>
      </c>
      <c r="F193" s="167">
        <v>1893</v>
      </c>
      <c r="G193" s="166">
        <f t="shared" si="265"/>
        <v>3.7029581999984741E-4</v>
      </c>
      <c r="H193" s="126">
        <v>2052</v>
      </c>
      <c r="I193" s="57">
        <f t="shared" si="266"/>
        <v>3.7616858365378852E-4</v>
      </c>
      <c r="J193" s="167">
        <v>1954</v>
      </c>
      <c r="K193" s="166">
        <f t="shared" si="267"/>
        <v>3.4967343829382267E-4</v>
      </c>
      <c r="L193" s="306">
        <v>1920</v>
      </c>
      <c r="M193" s="214">
        <f t="shared" si="268"/>
        <v>3.7417389419921332E-4</v>
      </c>
      <c r="N193" s="508">
        <v>1788</v>
      </c>
      <c r="O193" s="509">
        <f t="shared" si="269"/>
        <v>3.2913077996815827E-4</v>
      </c>
      <c r="P193" s="655">
        <v>1776</v>
      </c>
      <c r="Q193" s="356">
        <f t="shared" si="270"/>
        <v>3.0579633860539307E-4</v>
      </c>
      <c r="R193" s="508">
        <v>1851</v>
      </c>
      <c r="S193" s="509">
        <f t="shared" si="271"/>
        <v>3.4994179925289031E-4</v>
      </c>
      <c r="T193" s="355">
        <v>1923</v>
      </c>
      <c r="U193" s="356">
        <f t="shared" si="272"/>
        <v>3.9558003594162449E-4</v>
      </c>
      <c r="V193" s="655">
        <v>1874</v>
      </c>
      <c r="W193" s="860">
        <f t="shared" si="273"/>
        <v>3.4782744269431517E-4</v>
      </c>
      <c r="X193" s="655">
        <v>3109</v>
      </c>
      <c r="Y193" s="860">
        <f t="shared" si="274"/>
        <v>5.7755232988213772E-4</v>
      </c>
      <c r="Z193" s="1084">
        <v>2500</v>
      </c>
      <c r="AA193" s="1050">
        <f t="shared" si="275"/>
        <v>5.0761421319796957E-4</v>
      </c>
      <c r="AB193" s="1144">
        <f t="shared" si="276"/>
        <v>0</v>
      </c>
      <c r="AC193" s="1136"/>
      <c r="AD193" s="557">
        <v>2100</v>
      </c>
      <c r="AE193" s="748">
        <f t="shared" si="277"/>
        <v>4.6128693343256127E-4</v>
      </c>
      <c r="AF193" s="978">
        <f t="shared" si="278"/>
        <v>2075</v>
      </c>
      <c r="AG193" s="782">
        <f t="shared" si="279"/>
        <v>4.3598298930948699E-4</v>
      </c>
      <c r="AH193" s="1001">
        <f t="shared" si="280"/>
        <v>25</v>
      </c>
      <c r="AI193" s="451">
        <f t="shared" si="281"/>
        <v>1.2048192771084338E-2</v>
      </c>
      <c r="AJ193" s="1084">
        <v>2500</v>
      </c>
      <c r="AK193" s="1050">
        <f t="shared" si="282"/>
        <v>4.6728971962616824E-4</v>
      </c>
      <c r="AL193" s="840">
        <v>2500</v>
      </c>
      <c r="AM193" s="586">
        <f t="shared" si="283"/>
        <v>4.4642857142857141E-4</v>
      </c>
      <c r="AN193" s="978">
        <v>2500</v>
      </c>
      <c r="AO193" s="782">
        <f t="shared" si="284"/>
        <v>4.4642857142857141E-4</v>
      </c>
      <c r="AP193" s="450">
        <f t="shared" si="285"/>
        <v>16.666666666666515</v>
      </c>
      <c r="AQ193" s="451">
        <f t="shared" si="286"/>
        <v>6.6666666666666064E-3</v>
      </c>
      <c r="AR193" s="1004">
        <v>2246</v>
      </c>
      <c r="AS193" s="748">
        <f t="shared" si="287"/>
        <v>4.7126648777004714E-4</v>
      </c>
      <c r="AT193" s="902">
        <v>2365</v>
      </c>
      <c r="AU193" s="748">
        <f t="shared" si="288"/>
        <v>4.4040763311157768E-4</v>
      </c>
      <c r="AV193" s="450">
        <f t="shared" si="289"/>
        <v>-146</v>
      </c>
      <c r="AW193" s="452">
        <f t="shared" si="290"/>
        <v>-6.5004452359750664E-2</v>
      </c>
    </row>
    <row r="194" spans="1:50" ht="18" hidden="1" customHeight="1" x14ac:dyDescent="0.25">
      <c r="A194" s="956">
        <v>4</v>
      </c>
      <c r="B194" s="107" t="s">
        <v>134</v>
      </c>
      <c r="C194" s="78" t="s">
        <v>331</v>
      </c>
      <c r="D194" s="56">
        <v>5199</v>
      </c>
      <c r="E194" s="57">
        <f t="shared" si="264"/>
        <v>9.8764558900914711E-4</v>
      </c>
      <c r="F194" s="167">
        <v>610</v>
      </c>
      <c r="G194" s="166">
        <f t="shared" si="265"/>
        <v>1.1932406244052135E-4</v>
      </c>
      <c r="H194" s="126">
        <v>4500</v>
      </c>
      <c r="I194" s="57">
        <f t="shared" si="266"/>
        <v>8.2493110450392222E-4</v>
      </c>
      <c r="J194" s="167">
        <v>1538</v>
      </c>
      <c r="K194" s="166">
        <f t="shared" si="267"/>
        <v>2.752291443684234E-4</v>
      </c>
      <c r="L194" s="306">
        <v>680</v>
      </c>
      <c r="M194" s="214">
        <f t="shared" si="268"/>
        <v>1.3251992086222138E-4</v>
      </c>
      <c r="N194" s="508">
        <v>255</v>
      </c>
      <c r="O194" s="509">
        <f t="shared" si="269"/>
        <v>4.6939792445123239E-5</v>
      </c>
      <c r="P194" s="655">
        <v>3756</v>
      </c>
      <c r="Q194" s="356">
        <f t="shared" si="270"/>
        <v>6.4671793232086504E-4</v>
      </c>
      <c r="R194" s="508">
        <f>300+694</f>
        <v>994</v>
      </c>
      <c r="S194" s="509">
        <f t="shared" si="271"/>
        <v>1.8792120392078498E-4</v>
      </c>
      <c r="T194" s="355">
        <v>1214</v>
      </c>
      <c r="U194" s="356">
        <f t="shared" si="272"/>
        <v>2.4973175435940307E-4</v>
      </c>
      <c r="V194" s="655">
        <v>1350</v>
      </c>
      <c r="W194" s="860">
        <f t="shared" si="273"/>
        <v>2.5056939575097411E-4</v>
      </c>
      <c r="X194" s="655">
        <v>450</v>
      </c>
      <c r="Y194" s="860">
        <f t="shared" si="274"/>
        <v>8.3595544691850097E-5</v>
      </c>
      <c r="Z194" s="1084">
        <v>4000</v>
      </c>
      <c r="AA194" s="1050">
        <f t="shared" si="275"/>
        <v>8.1218274111675124E-4</v>
      </c>
      <c r="AB194" s="1144">
        <f t="shared" si="276"/>
        <v>0</v>
      </c>
      <c r="AC194" s="1136"/>
      <c r="AD194" s="557">
        <v>3237</v>
      </c>
      <c r="AE194" s="748">
        <f t="shared" si="277"/>
        <v>7.110408588196195E-4</v>
      </c>
      <c r="AF194" s="978">
        <f t="shared" si="278"/>
        <v>3320</v>
      </c>
      <c r="AG194" s="782">
        <f t="shared" si="279"/>
        <v>6.9757278289517917E-4</v>
      </c>
      <c r="AH194" s="1001">
        <f t="shared" si="280"/>
        <v>-83</v>
      </c>
      <c r="AI194" s="451">
        <f t="shared" si="281"/>
        <v>-2.5000000000000001E-2</v>
      </c>
      <c r="AJ194" s="1084">
        <v>4000</v>
      </c>
      <c r="AK194" s="1050">
        <f t="shared" si="282"/>
        <v>7.4766355140186912E-4</v>
      </c>
      <c r="AL194" s="840">
        <v>2920</v>
      </c>
      <c r="AM194" s="586">
        <f t="shared" si="283"/>
        <v>5.2142857142857145E-4</v>
      </c>
      <c r="AN194" s="978">
        <v>2920</v>
      </c>
      <c r="AO194" s="782">
        <f t="shared" si="284"/>
        <v>5.2142857142857145E-4</v>
      </c>
      <c r="AP194" s="1001">
        <f>$AD194-(AL194*$AX$4)</f>
        <v>317</v>
      </c>
      <c r="AQ194" s="451">
        <f t="shared" si="286"/>
        <v>0.10856164383561644</v>
      </c>
      <c r="AR194" s="1004">
        <v>2226</v>
      </c>
      <c r="AS194" s="748">
        <f t="shared" si="287"/>
        <v>4.670699918860752E-4</v>
      </c>
      <c r="AT194" s="902">
        <v>2225</v>
      </c>
      <c r="AU194" s="748">
        <f t="shared" si="288"/>
        <v>4.143369909823511E-4</v>
      </c>
      <c r="AV194" s="450">
        <f t="shared" si="289"/>
        <v>1011</v>
      </c>
      <c r="AW194" s="452">
        <f t="shared" si="290"/>
        <v>0.45417789757412397</v>
      </c>
      <c r="AX194" s="266" t="s">
        <v>330</v>
      </c>
    </row>
    <row r="195" spans="1:50" ht="18" hidden="1" customHeight="1" x14ac:dyDescent="0.25">
      <c r="A195" s="956">
        <v>5</v>
      </c>
      <c r="B195" s="107" t="s">
        <v>135</v>
      </c>
      <c r="C195" s="78" t="s">
        <v>195</v>
      </c>
      <c r="D195" s="56">
        <v>7975</v>
      </c>
      <c r="E195" s="57">
        <f t="shared" si="264"/>
        <v>1.5149978019519039E-3</v>
      </c>
      <c r="F195" s="167">
        <v>5745</v>
      </c>
      <c r="G195" s="166">
        <f t="shared" si="265"/>
        <v>1.1237979323291724E-3</v>
      </c>
      <c r="H195" s="126">
        <v>3653</v>
      </c>
      <c r="I195" s="57">
        <f t="shared" si="266"/>
        <v>6.6966073883396177E-4</v>
      </c>
      <c r="J195" s="167">
        <v>4245</v>
      </c>
      <c r="K195" s="166">
        <f t="shared" si="267"/>
        <v>7.5965391277240388E-4</v>
      </c>
      <c r="L195" s="306">
        <v>7375</v>
      </c>
      <c r="M195" s="214">
        <f t="shared" si="268"/>
        <v>1.4372564946454156E-3</v>
      </c>
      <c r="N195" s="508">
        <v>8759</v>
      </c>
      <c r="O195" s="509">
        <f t="shared" si="269"/>
        <v>1.6123358510856253E-3</v>
      </c>
      <c r="P195" s="655">
        <v>6618</v>
      </c>
      <c r="Q195" s="356">
        <f t="shared" si="270"/>
        <v>1.1395045996005018E-3</v>
      </c>
      <c r="R195" s="508">
        <v>7437</v>
      </c>
      <c r="S195" s="509">
        <f t="shared" si="271"/>
        <v>1.4060060297373016E-3</v>
      </c>
      <c r="T195" s="355">
        <v>8153</v>
      </c>
      <c r="U195" s="356">
        <f t="shared" si="272"/>
        <v>1.6771523832720043E-3</v>
      </c>
      <c r="V195" s="655">
        <v>7248</v>
      </c>
      <c r="W195" s="860">
        <f t="shared" si="273"/>
        <v>1.3452792447430078E-3</v>
      </c>
      <c r="X195" s="655">
        <v>7488</v>
      </c>
      <c r="Y195" s="860">
        <f t="shared" si="274"/>
        <v>1.3910298636723858E-3</v>
      </c>
      <c r="Z195" s="1084">
        <v>15365</v>
      </c>
      <c r="AA195" s="1050">
        <f t="shared" si="275"/>
        <v>3.1197969543147208E-3</v>
      </c>
      <c r="AB195" s="1144">
        <f t="shared" si="276"/>
        <v>2665</v>
      </c>
      <c r="AC195" s="1136"/>
      <c r="AD195" s="557">
        <v>10904</v>
      </c>
      <c r="AE195" s="748">
        <f t="shared" si="277"/>
        <v>2.3951774867374516E-3</v>
      </c>
      <c r="AF195" s="978">
        <f t="shared" si="278"/>
        <v>10541</v>
      </c>
      <c r="AG195" s="782">
        <f t="shared" si="279"/>
        <v>2.214793585692194E-3</v>
      </c>
      <c r="AH195" s="1001">
        <f t="shared" si="280"/>
        <v>363</v>
      </c>
      <c r="AI195" s="451">
        <f t="shared" si="281"/>
        <v>3.4436960440185939E-2</v>
      </c>
      <c r="AJ195" s="1084">
        <v>12700</v>
      </c>
      <c r="AK195" s="1050">
        <f t="shared" si="282"/>
        <v>2.3738317757009348E-3</v>
      </c>
      <c r="AL195" s="840">
        <v>10715</v>
      </c>
      <c r="AM195" s="586">
        <f t="shared" si="283"/>
        <v>1.9133928571428572E-3</v>
      </c>
      <c r="AN195" s="978">
        <v>10715</v>
      </c>
      <c r="AO195" s="782">
        <f t="shared" si="284"/>
        <v>1.9133928571428572E-3</v>
      </c>
      <c r="AP195" s="450">
        <f t="shared" si="285"/>
        <v>1974.8333333333339</v>
      </c>
      <c r="AQ195" s="451">
        <f t="shared" si="286"/>
        <v>0.1843054907450615</v>
      </c>
      <c r="AR195" s="1004">
        <v>8362</v>
      </c>
      <c r="AS195" s="748">
        <f t="shared" si="287"/>
        <v>1.7545549290886617E-3</v>
      </c>
      <c r="AT195" s="902">
        <v>9966</v>
      </c>
      <c r="AU195" s="748">
        <f t="shared" si="288"/>
        <v>1.8558572818562298E-3</v>
      </c>
      <c r="AV195" s="450">
        <f t="shared" si="289"/>
        <v>2542</v>
      </c>
      <c r="AW195" s="452">
        <f t="shared" si="290"/>
        <v>0.30399425974647215</v>
      </c>
    </row>
    <row r="196" spans="1:50" ht="18" hidden="1" customHeight="1" x14ac:dyDescent="0.25">
      <c r="A196" s="956">
        <v>6</v>
      </c>
      <c r="B196" s="107" t="s">
        <v>136</v>
      </c>
      <c r="C196" s="78" t="s">
        <v>5</v>
      </c>
      <c r="D196" s="56">
        <v>7889</v>
      </c>
      <c r="E196" s="57">
        <f t="shared" si="264"/>
        <v>1.4986605215797579E-3</v>
      </c>
      <c r="F196" s="167">
        <v>7942</v>
      </c>
      <c r="G196" s="166">
        <f t="shared" si="265"/>
        <v>1.5535601703321649E-3</v>
      </c>
      <c r="H196" s="126">
        <v>8292</v>
      </c>
      <c r="I196" s="57">
        <f t="shared" si="266"/>
        <v>1.520073048565894E-3</v>
      </c>
      <c r="J196" s="167">
        <v>8461</v>
      </c>
      <c r="K196" s="166">
        <f t="shared" si="267"/>
        <v>1.5141181992855853E-3</v>
      </c>
      <c r="L196" s="306">
        <v>8618</v>
      </c>
      <c r="M196" s="214">
        <f t="shared" si="268"/>
        <v>1.679495114692094E-3</v>
      </c>
      <c r="N196" s="508">
        <v>8635</v>
      </c>
      <c r="O196" s="509">
        <f t="shared" si="269"/>
        <v>1.5895102265240752E-3</v>
      </c>
      <c r="P196" s="655">
        <v>6275</v>
      </c>
      <c r="Q196" s="356">
        <f t="shared" si="270"/>
        <v>1.0804459598811045E-3</v>
      </c>
      <c r="R196" s="508">
        <v>6302</v>
      </c>
      <c r="S196" s="509">
        <f t="shared" si="271"/>
        <v>1.1914279950792624E-3</v>
      </c>
      <c r="T196" s="355">
        <v>6605</v>
      </c>
      <c r="U196" s="356">
        <f t="shared" si="272"/>
        <v>1.3587135399867028E-3</v>
      </c>
      <c r="V196" s="655">
        <v>5707</v>
      </c>
      <c r="W196" s="860">
        <f t="shared" si="273"/>
        <v>1.0592589196672662E-3</v>
      </c>
      <c r="X196" s="655">
        <v>5175</v>
      </c>
      <c r="Y196" s="860">
        <f t="shared" si="274"/>
        <v>9.6134876395627617E-4</v>
      </c>
      <c r="Z196" s="1084">
        <v>8055</v>
      </c>
      <c r="AA196" s="1050">
        <f t="shared" si="275"/>
        <v>1.6355329949238578E-3</v>
      </c>
      <c r="AB196" s="1144">
        <f t="shared" si="276"/>
        <v>1185</v>
      </c>
      <c r="AC196" s="1136"/>
      <c r="AD196" s="557">
        <v>5406</v>
      </c>
      <c r="AE196" s="748">
        <f t="shared" si="277"/>
        <v>1.1874843629221077E-3</v>
      </c>
      <c r="AF196" s="978">
        <f t="shared" si="278"/>
        <v>5702.0999999999995</v>
      </c>
      <c r="AG196" s="782">
        <f t="shared" si="279"/>
        <v>1.1980812546224702E-3</v>
      </c>
      <c r="AH196" s="1001">
        <f t="shared" si="280"/>
        <v>-296.09999999999945</v>
      </c>
      <c r="AI196" s="451">
        <f t="shared" si="281"/>
        <v>-5.1928236965328473E-2</v>
      </c>
      <c r="AJ196" s="1084">
        <v>6870</v>
      </c>
      <c r="AK196" s="1050">
        <f t="shared" si="282"/>
        <v>1.2841121495327102E-3</v>
      </c>
      <c r="AL196" s="840">
        <v>6035</v>
      </c>
      <c r="AM196" s="586">
        <f t="shared" si="283"/>
        <v>1.0776785714285714E-3</v>
      </c>
      <c r="AN196" s="978">
        <v>6035</v>
      </c>
      <c r="AO196" s="782">
        <f t="shared" si="284"/>
        <v>1.0776785714285714E-3</v>
      </c>
      <c r="AP196" s="450">
        <f t="shared" si="285"/>
        <v>376.83333333333303</v>
      </c>
      <c r="AQ196" s="451">
        <f t="shared" si="286"/>
        <v>6.244131455399056E-2</v>
      </c>
      <c r="AR196" s="1004">
        <v>4261</v>
      </c>
      <c r="AS196" s="748">
        <f t="shared" si="287"/>
        <v>8.940634480802185E-4</v>
      </c>
      <c r="AT196" s="902">
        <v>5156</v>
      </c>
      <c r="AU196" s="748">
        <f t="shared" si="288"/>
        <v>9.6014450584494483E-4</v>
      </c>
      <c r="AV196" s="450">
        <f t="shared" si="289"/>
        <v>1145</v>
      </c>
      <c r="AW196" s="452">
        <f t="shared" si="290"/>
        <v>0.26871626378784325</v>
      </c>
    </row>
    <row r="197" spans="1:50" ht="18" hidden="1" customHeight="1" x14ac:dyDescent="0.25">
      <c r="A197" s="956">
        <v>7</v>
      </c>
      <c r="B197" s="107" t="s">
        <v>137</v>
      </c>
      <c r="C197" s="79" t="s">
        <v>196</v>
      </c>
      <c r="D197" s="58">
        <v>4512</v>
      </c>
      <c r="E197" s="59">
        <f t="shared" si="264"/>
        <v>8.5713731440840003E-4</v>
      </c>
      <c r="F197" s="168">
        <v>5640</v>
      </c>
      <c r="G197" s="169">
        <f t="shared" si="265"/>
        <v>1.1032585445320336E-3</v>
      </c>
      <c r="H197" s="127">
        <v>5865</v>
      </c>
      <c r="I197" s="59">
        <f t="shared" si="266"/>
        <v>1.0751602062034453E-3</v>
      </c>
      <c r="J197" s="168">
        <v>6696</v>
      </c>
      <c r="K197" s="169">
        <f t="shared" si="267"/>
        <v>1.1982668079915234E-3</v>
      </c>
      <c r="L197" s="308">
        <v>6862</v>
      </c>
      <c r="M197" s="215">
        <f t="shared" si="268"/>
        <v>1.3372819072890634E-3</v>
      </c>
      <c r="N197" s="511">
        <v>7566</v>
      </c>
      <c r="O197" s="512">
        <f t="shared" si="269"/>
        <v>1.3927312534894214E-3</v>
      </c>
      <c r="P197" s="657">
        <v>5357</v>
      </c>
      <c r="Q197" s="359">
        <f t="shared" si="270"/>
        <v>9.2238231188574923E-4</v>
      </c>
      <c r="R197" s="511">
        <v>5722</v>
      </c>
      <c r="S197" s="512">
        <f t="shared" si="271"/>
        <v>1.0817757835359474E-3</v>
      </c>
      <c r="T197" s="358">
        <v>5862</v>
      </c>
      <c r="U197" s="359">
        <f t="shared" si="272"/>
        <v>1.2058711236036415E-3</v>
      </c>
      <c r="V197" s="657">
        <v>6535</v>
      </c>
      <c r="W197" s="861">
        <f t="shared" si="273"/>
        <v>1.2129414823945303E-3</v>
      </c>
      <c r="X197" s="657">
        <v>6901</v>
      </c>
      <c r="Y197" s="861">
        <f t="shared" si="274"/>
        <v>1.2819841198187945E-3</v>
      </c>
      <c r="Z197" s="1085">
        <v>12755</v>
      </c>
      <c r="AA197" s="1053">
        <f t="shared" si="275"/>
        <v>2.5898477157360405E-3</v>
      </c>
      <c r="AB197" s="1144">
        <f t="shared" si="276"/>
        <v>2020</v>
      </c>
      <c r="AC197" s="495"/>
      <c r="AD197" s="557">
        <v>8653</v>
      </c>
      <c r="AE197" s="749">
        <f t="shared" si="277"/>
        <v>1.9007218261866442E-3</v>
      </c>
      <c r="AF197" s="978">
        <f t="shared" si="278"/>
        <v>8910.0499999999993</v>
      </c>
      <c r="AG197" s="785">
        <f t="shared" si="279"/>
        <v>1.8721109560949369E-3</v>
      </c>
      <c r="AH197" s="1001">
        <f t="shared" si="280"/>
        <v>-257.04999999999927</v>
      </c>
      <c r="AI197" s="451">
        <f t="shared" si="281"/>
        <v>-2.8849445289308061E-2</v>
      </c>
      <c r="AJ197" s="1085">
        <f>7270+3465</f>
        <v>10735</v>
      </c>
      <c r="AK197" s="1053">
        <f t="shared" si="282"/>
        <v>2.0065420560747664E-3</v>
      </c>
      <c r="AL197" s="841">
        <v>7270</v>
      </c>
      <c r="AM197" s="589">
        <f t="shared" si="283"/>
        <v>1.2982142857142858E-3</v>
      </c>
      <c r="AN197" s="979">
        <v>7270</v>
      </c>
      <c r="AO197" s="785">
        <f t="shared" si="284"/>
        <v>1.2982142857142858E-3</v>
      </c>
      <c r="AP197" s="450">
        <f t="shared" si="285"/>
        <v>2594.6666666666661</v>
      </c>
      <c r="AQ197" s="451">
        <f t="shared" si="286"/>
        <v>0.35690050435580001</v>
      </c>
      <c r="AR197" s="1004">
        <v>5753</v>
      </c>
      <c r="AS197" s="749">
        <f t="shared" si="287"/>
        <v>1.2071220410245242E-3</v>
      </c>
      <c r="AT197" s="902">
        <v>6934</v>
      </c>
      <c r="AU197" s="749">
        <f t="shared" si="288"/>
        <v>1.2912416608861226E-3</v>
      </c>
      <c r="AV197" s="450">
        <f t="shared" si="289"/>
        <v>2900</v>
      </c>
      <c r="AW197" s="482">
        <f t="shared" si="290"/>
        <v>0.50408482530853471</v>
      </c>
    </row>
    <row r="198" spans="1:50" ht="17.25" hidden="1" customHeight="1" thickBot="1" x14ac:dyDescent="0.3">
      <c r="A198" s="100"/>
      <c r="B198" s="101"/>
      <c r="C198" s="85" t="s">
        <v>197</v>
      </c>
      <c r="D198" s="39">
        <f>SUM(D191:D197)</f>
        <v>141017</v>
      </c>
      <c r="E198" s="41">
        <f>D198/D$11</f>
        <v>2.6788770537661644E-2</v>
      </c>
      <c r="F198" s="182">
        <f>SUM(F191:F197)</f>
        <v>138229</v>
      </c>
      <c r="G198" s="183">
        <f>F198/F$11</f>
        <v>2.7039419388673488E-2</v>
      </c>
      <c r="H198" s="135">
        <f>SUM(H191:H197)</f>
        <v>146946</v>
      </c>
      <c r="I198" s="41">
        <f>H198/H$11</f>
        <v>2.6937850240540743E-2</v>
      </c>
      <c r="J198" s="182">
        <f>SUM(J191:J197)</f>
        <v>148123</v>
      </c>
      <c r="K198" s="183">
        <f>J198/J$11</f>
        <v>2.6507000358442116E-2</v>
      </c>
      <c r="L198" s="319">
        <f>SUM(L191:L197)</f>
        <v>154765</v>
      </c>
      <c r="M198" s="223">
        <f>L198/L$11</f>
        <v>3.0160949341531899E-2</v>
      </c>
      <c r="N198" s="533">
        <f>SUM(N191:N197)</f>
        <v>156537</v>
      </c>
      <c r="O198" s="534">
        <f t="shared" si="269"/>
        <v>2.8814957999930418E-2</v>
      </c>
      <c r="P198" s="675">
        <f>SUM(P191:P197)</f>
        <v>117350</v>
      </c>
      <c r="Q198" s="381">
        <f t="shared" si="270"/>
        <v>2.0205630819449819E-2</v>
      </c>
      <c r="R198" s="533">
        <f>SUM(R191:R197)</f>
        <v>117980</v>
      </c>
      <c r="S198" s="534">
        <f t="shared" si="271"/>
        <v>2.2304772272207455E-2</v>
      </c>
      <c r="T198" s="380">
        <f>SUM(T191:T197)</f>
        <v>123640</v>
      </c>
      <c r="U198" s="381">
        <f t="shared" si="272"/>
        <v>2.5433965493407412E-2</v>
      </c>
      <c r="V198" s="675">
        <f>SUM(V191:V197)</f>
        <v>99015</v>
      </c>
      <c r="W198" s="872">
        <f t="shared" si="273"/>
        <v>1.8377873126135334E-2</v>
      </c>
      <c r="X198" s="675">
        <f>SUM(X191:X197)</f>
        <v>96953</v>
      </c>
      <c r="Y198" s="872">
        <f t="shared" si="274"/>
        <v>1.8010752987797651E-2</v>
      </c>
      <c r="Z198" s="1081">
        <f>SUM(Z191:Z197)</f>
        <v>148990</v>
      </c>
      <c r="AA198" s="1082">
        <f t="shared" si="275"/>
        <v>3.0251776649746192E-2</v>
      </c>
      <c r="AB198" s="1155">
        <f>SUM(AB191:AB197)</f>
        <v>21425</v>
      </c>
      <c r="AC198" s="1137"/>
      <c r="AD198" s="558">
        <f>SUM(AD191:AD197)</f>
        <v>108279</v>
      </c>
      <c r="AE198" s="760">
        <f t="shared" si="277"/>
        <v>2.3784613269116333E-2</v>
      </c>
      <c r="AF198" s="1176">
        <f>SUM(AF191:AF197)</f>
        <v>105878.95000000001</v>
      </c>
      <c r="AG198" s="808">
        <f t="shared" si="279"/>
        <v>2.2246468012505887E-2</v>
      </c>
      <c r="AH198" s="474">
        <f>SUM(AH191:AH197)</f>
        <v>2400.0499999999984</v>
      </c>
      <c r="AI198" s="468">
        <f>AH198/AF198</f>
        <v>2.2667867408960877E-2</v>
      </c>
      <c r="AJ198" s="1081">
        <f>SUM(AJ191:AJ197)</f>
        <v>127565</v>
      </c>
      <c r="AK198" s="1082">
        <f t="shared" si="282"/>
        <v>2.3843925233644859E-2</v>
      </c>
      <c r="AL198" s="613">
        <f>SUM(AL191:AL197)</f>
        <v>109575</v>
      </c>
      <c r="AM198" s="614">
        <f t="shared" si="283"/>
        <v>1.9566964285714285E-2</v>
      </c>
      <c r="AN198" s="807">
        <f>SUM(AN191:AN197)</f>
        <v>109575</v>
      </c>
      <c r="AO198" s="808">
        <f t="shared" si="284"/>
        <v>1.9566964285714285E-2</v>
      </c>
      <c r="AP198" s="474">
        <f>SUM(AP191:AP197)</f>
        <v>16479.833333333336</v>
      </c>
      <c r="AQ198" s="468">
        <f>AP198/AN198</f>
        <v>0.15039774887824173</v>
      </c>
      <c r="AR198" s="739">
        <f>SUM(AR191:AR197)</f>
        <v>85034</v>
      </c>
      <c r="AS198" s="760">
        <f t="shared" si="287"/>
        <v>1.7842241549883432E-2</v>
      </c>
      <c r="AT198" s="903">
        <f>SUM(AT191:AT197)</f>
        <v>101806</v>
      </c>
      <c r="AU198" s="255">
        <f t="shared" si="288"/>
        <v>1.8958198518628872E-2</v>
      </c>
      <c r="AV198" s="474">
        <f>SUM(AV191:AV197)</f>
        <v>23245</v>
      </c>
      <c r="AW198" s="469">
        <f t="shared" si="290"/>
        <v>0.27336124373779902</v>
      </c>
    </row>
    <row r="199" spans="1:50" ht="17.25" hidden="1" customHeight="1" thickTop="1" x14ac:dyDescent="0.25">
      <c r="A199" s="100"/>
      <c r="B199" s="101"/>
      <c r="C199" s="76"/>
      <c r="D199" s="29"/>
      <c r="E199" s="32"/>
      <c r="F199" s="161"/>
      <c r="G199" s="171"/>
      <c r="H199" s="123"/>
      <c r="I199" s="32"/>
      <c r="J199" s="161"/>
      <c r="K199" s="171"/>
      <c r="L199" s="305"/>
      <c r="M199" s="217"/>
      <c r="N199" s="506"/>
      <c r="O199" s="514"/>
      <c r="P199" s="654"/>
      <c r="Q199" s="361"/>
      <c r="R199" s="506"/>
      <c r="S199" s="514"/>
      <c r="T199" s="353"/>
      <c r="U199" s="361"/>
      <c r="V199" s="670"/>
      <c r="W199" s="671"/>
      <c r="X199" s="888"/>
      <c r="Y199" s="671"/>
      <c r="Z199" s="1073"/>
      <c r="AA199" s="1074"/>
      <c r="AB199" s="1149"/>
      <c r="AC199" s="1130"/>
      <c r="AD199" s="640"/>
      <c r="AE199" s="641"/>
      <c r="AF199" s="974"/>
      <c r="AG199" s="975"/>
      <c r="AH199" s="642"/>
      <c r="AI199" s="643"/>
      <c r="AJ199" s="1073"/>
      <c r="AK199" s="1074"/>
      <c r="AL199" s="767"/>
      <c r="AM199" s="721"/>
      <c r="AN199" s="974"/>
      <c r="AO199" s="975"/>
      <c r="AP199" s="642"/>
      <c r="AQ199" s="643"/>
      <c r="AR199" s="640"/>
      <c r="AS199" s="641"/>
      <c r="AT199" s="899"/>
      <c r="AU199" s="641"/>
      <c r="AV199" s="642"/>
      <c r="AW199" s="643"/>
    </row>
    <row r="200" spans="1:50" ht="18" hidden="1" customHeight="1" x14ac:dyDescent="0.25">
      <c r="A200" s="100"/>
      <c r="B200" s="101"/>
      <c r="C200" s="76" t="s">
        <v>313</v>
      </c>
      <c r="D200" s="29"/>
      <c r="E200" s="30"/>
      <c r="F200" s="161"/>
      <c r="G200" s="162"/>
      <c r="H200" s="123"/>
      <c r="I200" s="30"/>
      <c r="J200" s="161"/>
      <c r="K200" s="162"/>
      <c r="L200" s="305"/>
      <c r="M200" s="212"/>
      <c r="N200" s="506"/>
      <c r="O200" s="507"/>
      <c r="P200" s="654"/>
      <c r="Q200" s="354"/>
      <c r="R200" s="506"/>
      <c r="S200" s="507"/>
      <c r="T200" s="353"/>
      <c r="U200" s="354"/>
      <c r="V200" s="672"/>
      <c r="W200" s="673"/>
      <c r="X200" s="889"/>
      <c r="Y200" s="673"/>
      <c r="Z200" s="1075"/>
      <c r="AA200" s="1076"/>
      <c r="AB200" s="1149"/>
      <c r="AC200" s="1130"/>
      <c r="AD200" s="636"/>
      <c r="AE200" s="637"/>
      <c r="AF200" s="976"/>
      <c r="AG200" s="977"/>
      <c r="AH200" s="639"/>
      <c r="AI200" s="493"/>
      <c r="AJ200" s="1075"/>
      <c r="AK200" s="1076"/>
      <c r="AL200" s="720"/>
      <c r="AM200" s="719"/>
      <c r="AN200" s="976"/>
      <c r="AO200" s="977"/>
      <c r="AP200" s="639"/>
      <c r="AQ200" s="493"/>
      <c r="AR200" s="636"/>
      <c r="AS200" s="637"/>
      <c r="AT200" s="904"/>
      <c r="AU200" s="637"/>
      <c r="AV200" s="639"/>
      <c r="AW200" s="493"/>
    </row>
    <row r="201" spans="1:50" ht="18" hidden="1" customHeight="1" x14ac:dyDescent="0.25">
      <c r="A201" s="100"/>
      <c r="B201" s="101"/>
      <c r="C201" s="78" t="s">
        <v>186</v>
      </c>
      <c r="D201" s="109">
        <v>3</v>
      </c>
      <c r="E201" s="112"/>
      <c r="F201" s="180">
        <v>3</v>
      </c>
      <c r="G201" s="187"/>
      <c r="H201" s="134">
        <v>3</v>
      </c>
      <c r="I201" s="112"/>
      <c r="J201" s="180">
        <v>3</v>
      </c>
      <c r="K201" s="187"/>
      <c r="L201" s="318">
        <v>3</v>
      </c>
      <c r="M201" s="225"/>
      <c r="N201" s="531">
        <v>2.88</v>
      </c>
      <c r="O201" s="539"/>
      <c r="P201" s="674">
        <v>2.88</v>
      </c>
      <c r="Q201" s="386"/>
      <c r="R201" s="531">
        <v>2.88</v>
      </c>
      <c r="S201" s="539"/>
      <c r="T201" s="378">
        <v>2.88</v>
      </c>
      <c r="U201" s="386"/>
      <c r="V201" s="674">
        <v>2.88</v>
      </c>
      <c r="W201" s="874"/>
      <c r="X201" s="674">
        <v>2.88</v>
      </c>
      <c r="Y201" s="874"/>
      <c r="Z201" s="1077">
        <v>2.2999999999999998</v>
      </c>
      <c r="AA201" s="1101"/>
      <c r="AB201" s="1156"/>
      <c r="AC201" s="1139"/>
      <c r="AD201" s="433">
        <v>2.5</v>
      </c>
      <c r="AE201" s="762"/>
      <c r="AF201" s="1177">
        <v>2.88</v>
      </c>
      <c r="AG201" s="814"/>
      <c r="AH201" s="475"/>
      <c r="AI201" s="451"/>
      <c r="AJ201" s="1077">
        <v>2.88</v>
      </c>
      <c r="AK201" s="1101"/>
      <c r="AL201" s="611">
        <v>2.88</v>
      </c>
      <c r="AM201" s="624"/>
      <c r="AN201" s="803">
        <v>2.88</v>
      </c>
      <c r="AO201" s="814"/>
      <c r="AP201" s="475"/>
      <c r="AQ201" s="451"/>
      <c r="AR201" s="734">
        <v>2.88</v>
      </c>
      <c r="AS201" s="762"/>
      <c r="AT201" s="901">
        <v>2.88</v>
      </c>
      <c r="AU201" s="257"/>
      <c r="AV201" s="475"/>
      <c r="AW201" s="452"/>
    </row>
    <row r="202" spans="1:50" ht="18" hidden="1" customHeight="1" x14ac:dyDescent="0.25">
      <c r="A202" s="104">
        <v>1</v>
      </c>
      <c r="B202" s="107" t="s">
        <v>140</v>
      </c>
      <c r="C202" s="78" t="s">
        <v>187</v>
      </c>
      <c r="D202" s="56">
        <v>128279</v>
      </c>
      <c r="E202" s="57">
        <f>D202/D$11</f>
        <v>2.4368953358819844E-2</v>
      </c>
      <c r="F202" s="167">
        <v>134558</v>
      </c>
      <c r="G202" s="166">
        <f>F202/F$11</f>
        <v>2.6321323268642085E-2</v>
      </c>
      <c r="H202" s="126">
        <v>137980</v>
      </c>
      <c r="I202" s="57">
        <f>H202/H$11</f>
        <v>2.5294220844322486E-2</v>
      </c>
      <c r="J202" s="167">
        <v>142635</v>
      </c>
      <c r="K202" s="166">
        <f t="shared" ref="K202:K206" si="291">J202/J$11</f>
        <v>2.5524908327041657E-2</v>
      </c>
      <c r="L202" s="306">
        <v>147477</v>
      </c>
      <c r="M202" s="214">
        <f t="shared" ref="M202:M206" si="292">L202/L$11</f>
        <v>2.8740647601467384E-2</v>
      </c>
      <c r="N202" s="508">
        <v>124484</v>
      </c>
      <c r="O202" s="509">
        <f t="shared" ref="O202:O213" si="293">N202/N$11</f>
        <v>2.2914718128387142E-2</v>
      </c>
      <c r="P202" s="655">
        <v>132732</v>
      </c>
      <c r="Q202" s="356">
        <f t="shared" ref="Q202:Q213" si="294">P202/P$11</f>
        <v>2.2854143927799005E-2</v>
      </c>
      <c r="R202" s="508">
        <v>140243</v>
      </c>
      <c r="S202" s="509">
        <f t="shared" ref="S202:S213" si="295">R202/R$11</f>
        <v>2.6513715695636465E-2</v>
      </c>
      <c r="T202" s="355">
        <v>144590</v>
      </c>
      <c r="U202" s="356">
        <f t="shared" ref="U202:U213" si="296">T202/T$11</f>
        <v>2.9743586789807323E-2</v>
      </c>
      <c r="V202" s="655">
        <v>135299</v>
      </c>
      <c r="W202" s="860">
        <f t="shared" ref="W202:W213" si="297">V202/V$11</f>
        <v>2.5112436056082255E-2</v>
      </c>
      <c r="X202" s="655">
        <v>143182</v>
      </c>
      <c r="Y202" s="860">
        <f t="shared" ref="Y202:Y213" si="298">X202/X$11</f>
        <v>2.6598616177929957E-2</v>
      </c>
      <c r="Z202" s="1084">
        <v>86325</v>
      </c>
      <c r="AA202" s="1050">
        <f t="shared" ref="AA202:AA213" si="299">Z202/Z$11</f>
        <v>1.7527918781725889E-2</v>
      </c>
      <c r="AB202" s="1144">
        <f t="shared" ref="AB202:AB212" si="300">Z202-AJ202</f>
        <v>-1215</v>
      </c>
      <c r="AC202" s="1136"/>
      <c r="AD202" s="557">
        <v>76540</v>
      </c>
      <c r="AE202" s="748">
        <f t="shared" ref="AE202:AE207" si="301">AD202/AD$11</f>
        <v>1.6812810421394399E-2</v>
      </c>
      <c r="AF202" s="978">
        <f t="shared" ref="AF202:AF212" si="302">AJ202*$AX$3</f>
        <v>72658.2</v>
      </c>
      <c r="AG202" s="782">
        <f t="shared" ref="AG202:AG213" si="303">AF202/AF$11</f>
        <v>1.5266380353660996E-2</v>
      </c>
      <c r="AH202" s="1001">
        <f t="shared" ref="AH202:AH212" si="304">AD202-AF202</f>
        <v>3881.8000000000029</v>
      </c>
      <c r="AI202" s="451">
        <f t="shared" ref="AI202:AI212" si="305">AH202/AF202</f>
        <v>5.3425490859944275E-2</v>
      </c>
      <c r="AJ202" s="1084">
        <v>87540</v>
      </c>
      <c r="AK202" s="1050">
        <f t="shared" ref="AK202:AK213" si="306">AJ202/AJ$11</f>
        <v>1.6362616822429905E-2</v>
      </c>
      <c r="AL202" s="840">
        <v>76055</v>
      </c>
      <c r="AM202" s="586">
        <f t="shared" ref="AM202:AM213" si="307">AL202/AL$11</f>
        <v>1.358125E-2</v>
      </c>
      <c r="AN202" s="978">
        <v>76055</v>
      </c>
      <c r="AO202" s="782">
        <f t="shared" ref="AO202:AO213" si="308">AN202/AN$11</f>
        <v>1.358125E-2</v>
      </c>
      <c r="AP202" s="450">
        <f t="shared" ref="AP202:AP206" si="309">$AD202-(AL202/12*$AX$1)</f>
        <v>13160.833333333328</v>
      </c>
      <c r="AQ202" s="451">
        <f t="shared" ref="AQ202:AQ212" si="310">AP202/AN202</f>
        <v>0.17304363070584877</v>
      </c>
      <c r="AR202" s="1018">
        <v>120341</v>
      </c>
      <c r="AS202" s="748">
        <f t="shared" ref="AS202:AS213" si="311">AR202/AR$11</f>
        <v>2.5250525558653269E-2</v>
      </c>
      <c r="AT202" s="902">
        <v>144081</v>
      </c>
      <c r="AU202" s="748">
        <f t="shared" ref="AU202:AU213" si="312">AT202/AT$11</f>
        <v>2.683060134729354E-2</v>
      </c>
      <c r="AV202" s="450">
        <f t="shared" ref="AV202:AV212" si="313">AD202-AR202</f>
        <v>-43801</v>
      </c>
      <c r="AW202" s="452">
        <f t="shared" ref="AW202:AW213" si="314">AV202/AR202</f>
        <v>-0.36397404043509696</v>
      </c>
    </row>
    <row r="203" spans="1:50" ht="18" hidden="1" customHeight="1" x14ac:dyDescent="0.25">
      <c r="A203" s="104">
        <v>2</v>
      </c>
      <c r="B203" s="107" t="s">
        <v>9</v>
      </c>
      <c r="C203" s="78" t="s">
        <v>316</v>
      </c>
      <c r="D203" s="56">
        <v>0</v>
      </c>
      <c r="E203" s="57">
        <f>D203/D$11</f>
        <v>0</v>
      </c>
      <c r="F203" s="167">
        <v>0</v>
      </c>
      <c r="G203" s="166">
        <f>F203/F$11</f>
        <v>0</v>
      </c>
      <c r="H203" s="126">
        <v>19861</v>
      </c>
      <c r="I203" s="57">
        <f>H203/H$11</f>
        <v>3.6408792592338662E-3</v>
      </c>
      <c r="J203" s="167">
        <v>21800</v>
      </c>
      <c r="K203" s="166">
        <f t="shared" si="291"/>
        <v>3.9011673258983288E-3</v>
      </c>
      <c r="L203" s="306">
        <v>3914</v>
      </c>
      <c r="M203" s="214">
        <f t="shared" si="292"/>
        <v>7.627690739040213E-4</v>
      </c>
      <c r="N203" s="508">
        <v>23605</v>
      </c>
      <c r="O203" s="509">
        <f t="shared" si="293"/>
        <v>4.3451521594789575E-3</v>
      </c>
      <c r="P203" s="655">
        <f>16409+1281+843</f>
        <v>18533</v>
      </c>
      <c r="Q203" s="356">
        <f t="shared" si="294"/>
        <v>3.1910605537014357E-3</v>
      </c>
      <c r="R203" s="508">
        <f>9788+240+279</f>
        <v>10307</v>
      </c>
      <c r="S203" s="509">
        <f t="shared" si="295"/>
        <v>1.9485954213395681E-3</v>
      </c>
      <c r="T203" s="355">
        <v>11856</v>
      </c>
      <c r="U203" s="356">
        <f t="shared" si="296"/>
        <v>2.4388959470223086E-3</v>
      </c>
      <c r="V203" s="655">
        <v>9396</v>
      </c>
      <c r="W203" s="860">
        <f t="shared" si="297"/>
        <v>1.7439629944267798E-3</v>
      </c>
      <c r="X203" s="655">
        <v>17484</v>
      </c>
      <c r="Y203" s="860">
        <f t="shared" si="298"/>
        <v>3.2479655630940161E-3</v>
      </c>
      <c r="Z203" s="1084">
        <f>27000-9000</f>
        <v>18000</v>
      </c>
      <c r="AA203" s="1050">
        <f t="shared" si="299"/>
        <v>3.6548223350253805E-3</v>
      </c>
      <c r="AB203" s="1144">
        <f t="shared" si="300"/>
        <v>5500</v>
      </c>
      <c r="AC203" s="1136"/>
      <c r="AD203" s="557">
        <v>11074</v>
      </c>
      <c r="AE203" s="748">
        <f t="shared" si="301"/>
        <v>2.4325197623010397E-3</v>
      </c>
      <c r="AF203" s="978">
        <f t="shared" si="302"/>
        <v>10375</v>
      </c>
      <c r="AG203" s="782">
        <f t="shared" si="303"/>
        <v>2.1799149465474349E-3</v>
      </c>
      <c r="AH203" s="1001">
        <f t="shared" si="304"/>
        <v>699</v>
      </c>
      <c r="AI203" s="451">
        <f t="shared" si="305"/>
        <v>6.7373493975903614E-2</v>
      </c>
      <c r="AJ203" s="1084">
        <v>12500</v>
      </c>
      <c r="AK203" s="1050">
        <f t="shared" si="306"/>
        <v>2.3364485981308409E-3</v>
      </c>
      <c r="AL203" s="840">
        <v>15000</v>
      </c>
      <c r="AM203" s="586">
        <f t="shared" si="307"/>
        <v>2.6785714285714286E-3</v>
      </c>
      <c r="AN203" s="978">
        <v>15000</v>
      </c>
      <c r="AO203" s="782">
        <f t="shared" si="308"/>
        <v>2.6785714285714286E-3</v>
      </c>
      <c r="AP203" s="1001">
        <f>$AD203-(AL203*$AX$3)</f>
        <v>-1376</v>
      </c>
      <c r="AQ203" s="451">
        <f t="shared" si="310"/>
        <v>-9.1733333333333333E-2</v>
      </c>
      <c r="AR203" s="1018">
        <v>13205</v>
      </c>
      <c r="AS203" s="748">
        <f t="shared" si="311"/>
        <v>2.7707364073924633E-3</v>
      </c>
      <c r="AT203" s="902">
        <v>26703</v>
      </c>
      <c r="AU203" s="748">
        <f t="shared" si="312"/>
        <v>4.9726025484052678E-3</v>
      </c>
      <c r="AV203" s="450">
        <f t="shared" si="313"/>
        <v>-2131</v>
      </c>
      <c r="AW203" s="452">
        <f t="shared" si="314"/>
        <v>-0.16137826580840592</v>
      </c>
      <c r="AX203" s="266" t="s">
        <v>330</v>
      </c>
    </row>
    <row r="204" spans="1:50" ht="18" hidden="1" customHeight="1" x14ac:dyDescent="0.25">
      <c r="A204" s="104">
        <v>3</v>
      </c>
      <c r="B204" s="107" t="s">
        <v>8</v>
      </c>
      <c r="C204" s="78" t="s">
        <v>317</v>
      </c>
      <c r="D204" s="56">
        <f>1915+44+1039</f>
        <v>2998</v>
      </c>
      <c r="E204" s="57">
        <f>D204/D$11</f>
        <v>5.6952519250806361E-4</v>
      </c>
      <c r="F204" s="167">
        <f>2031+152+345</f>
        <v>2528</v>
      </c>
      <c r="G204" s="166">
        <f>F204/F$11</f>
        <v>4.9451021286825902E-4</v>
      </c>
      <c r="H204" s="126">
        <f>3090+690+750</f>
        <v>4530</v>
      </c>
      <c r="I204" s="57">
        <f>H204/H$11</f>
        <v>8.30430645200615E-4</v>
      </c>
      <c r="J204" s="167">
        <v>807</v>
      </c>
      <c r="K204" s="166">
        <f t="shared" si="291"/>
        <v>1.444147721100895E-4</v>
      </c>
      <c r="L204" s="306">
        <v>1789</v>
      </c>
      <c r="M204" s="214">
        <f t="shared" si="292"/>
        <v>3.486443212095795E-4</v>
      </c>
      <c r="N204" s="508">
        <v>6087</v>
      </c>
      <c r="O204" s="509">
        <f t="shared" si="293"/>
        <v>1.1204804573077065E-3</v>
      </c>
      <c r="P204" s="655">
        <v>4433</v>
      </c>
      <c r="Q204" s="356">
        <f t="shared" si="294"/>
        <v>7.632855681518623E-4</v>
      </c>
      <c r="R204" s="508">
        <v>9630</v>
      </c>
      <c r="S204" s="509">
        <f t="shared" si="295"/>
        <v>1.8206048226933193E-3</v>
      </c>
      <c r="T204" s="355">
        <v>3698</v>
      </c>
      <c r="U204" s="356">
        <f t="shared" si="296"/>
        <v>7.6071501451488682E-4</v>
      </c>
      <c r="V204" s="655">
        <v>7692</v>
      </c>
      <c r="W204" s="860">
        <f t="shared" si="297"/>
        <v>1.4276887349011058E-3</v>
      </c>
      <c r="X204" s="655">
        <v>14879</v>
      </c>
      <c r="Y204" s="860">
        <f t="shared" si="298"/>
        <v>2.7640402432667502E-3</v>
      </c>
      <c r="Z204" s="1084">
        <f>24400-3500-10000</f>
        <v>10900</v>
      </c>
      <c r="AA204" s="1050">
        <f t="shared" si="299"/>
        <v>2.2131979695431472E-3</v>
      </c>
      <c r="AB204" s="1144">
        <f t="shared" si="300"/>
        <v>1900</v>
      </c>
      <c r="AC204" s="1136"/>
      <c r="AD204" s="557">
        <v>8276</v>
      </c>
      <c r="AE204" s="748">
        <f t="shared" si="301"/>
        <v>1.8179098386132749E-3</v>
      </c>
      <c r="AF204" s="978">
        <f t="shared" si="302"/>
        <v>7470</v>
      </c>
      <c r="AG204" s="782">
        <f t="shared" si="303"/>
        <v>1.5695387615141533E-3</v>
      </c>
      <c r="AH204" s="1001">
        <f t="shared" si="304"/>
        <v>806</v>
      </c>
      <c r="AI204" s="451">
        <f t="shared" si="305"/>
        <v>0.10789825970548862</v>
      </c>
      <c r="AJ204" s="1084">
        <v>9000</v>
      </c>
      <c r="AK204" s="1050">
        <f t="shared" si="306"/>
        <v>1.6822429906542056E-3</v>
      </c>
      <c r="AL204" s="840">
        <v>17500</v>
      </c>
      <c r="AM204" s="586">
        <f t="shared" si="307"/>
        <v>3.1250000000000002E-3</v>
      </c>
      <c r="AN204" s="978">
        <v>17500</v>
      </c>
      <c r="AO204" s="782">
        <f t="shared" si="308"/>
        <v>3.1250000000000002E-3</v>
      </c>
      <c r="AP204" s="450">
        <f t="shared" si="309"/>
        <v>-6307.3333333333321</v>
      </c>
      <c r="AQ204" s="451">
        <f t="shared" si="310"/>
        <v>-0.36041904761904753</v>
      </c>
      <c r="AR204" s="1018">
        <v>8461</v>
      </c>
      <c r="AS204" s="748">
        <f t="shared" si="311"/>
        <v>1.7753275837143227E-3</v>
      </c>
      <c r="AT204" s="902">
        <v>9805</v>
      </c>
      <c r="AU204" s="748">
        <f t="shared" si="312"/>
        <v>1.8258760434076192E-3</v>
      </c>
      <c r="AV204" s="450">
        <f t="shared" si="313"/>
        <v>-185</v>
      </c>
      <c r="AW204" s="452">
        <f t="shared" si="314"/>
        <v>-2.1865027774494741E-2</v>
      </c>
    </row>
    <row r="205" spans="1:50" ht="18" hidden="1" customHeight="1" x14ac:dyDescent="0.25">
      <c r="A205" s="104">
        <v>4</v>
      </c>
      <c r="B205" s="107"/>
      <c r="C205" s="78" t="s">
        <v>318</v>
      </c>
      <c r="D205" s="56"/>
      <c r="E205" s="57"/>
      <c r="F205" s="167"/>
      <c r="G205" s="166"/>
      <c r="H205" s="126"/>
      <c r="I205" s="57"/>
      <c r="J205" s="167"/>
      <c r="K205" s="166">
        <f t="shared" si="291"/>
        <v>0</v>
      </c>
      <c r="L205" s="306"/>
      <c r="M205" s="214">
        <f t="shared" si="292"/>
        <v>0</v>
      </c>
      <c r="N205" s="508">
        <v>14930</v>
      </c>
      <c r="O205" s="509">
        <f t="shared" si="293"/>
        <v>2.7482788282576077E-3</v>
      </c>
      <c r="P205" s="655">
        <f>64133+1459</f>
        <v>65592</v>
      </c>
      <c r="Q205" s="356">
        <f t="shared" si="294"/>
        <v>1.1293802613628908E-2</v>
      </c>
      <c r="R205" s="508">
        <f>81888+22856</f>
        <v>104744</v>
      </c>
      <c r="S205" s="509">
        <f t="shared" si="295"/>
        <v>1.9802433182574145E-2</v>
      </c>
      <c r="T205" s="355">
        <v>16032</v>
      </c>
      <c r="U205" s="356">
        <f t="shared" si="296"/>
        <v>3.297940268443122E-3</v>
      </c>
      <c r="V205" s="655">
        <v>48563</v>
      </c>
      <c r="W205" s="860">
        <f t="shared" si="297"/>
        <v>9.0136307895218939E-3</v>
      </c>
      <c r="X205" s="655">
        <v>118752</v>
      </c>
      <c r="Y205" s="860">
        <f t="shared" si="298"/>
        <v>2.2060306940547964E-2</v>
      </c>
      <c r="Z205" s="1084">
        <f>42000-4000</f>
        <v>38000</v>
      </c>
      <c r="AA205" s="1050">
        <f t="shared" si="299"/>
        <v>7.7157360406091367E-3</v>
      </c>
      <c r="AB205" s="1144">
        <f t="shared" si="300"/>
        <v>-4000</v>
      </c>
      <c r="AC205" s="1136"/>
      <c r="AD205" s="557">
        <v>36140</v>
      </c>
      <c r="AE205" s="748">
        <f t="shared" si="301"/>
        <v>7.9385284639298878E-3</v>
      </c>
      <c r="AF205" s="978">
        <f t="shared" si="302"/>
        <v>34860</v>
      </c>
      <c r="AG205" s="782">
        <f t="shared" si="303"/>
        <v>7.3245142203993818E-3</v>
      </c>
      <c r="AH205" s="1001">
        <f t="shared" si="304"/>
        <v>1280</v>
      </c>
      <c r="AI205" s="451">
        <f t="shared" si="305"/>
        <v>3.6718301778542739E-2</v>
      </c>
      <c r="AJ205" s="1084">
        <v>42000</v>
      </c>
      <c r="AK205" s="1050">
        <f t="shared" si="306"/>
        <v>7.8504672897196266E-3</v>
      </c>
      <c r="AL205" s="840">
        <v>58000</v>
      </c>
      <c r="AM205" s="586">
        <f t="shared" si="307"/>
        <v>1.0357142857142856E-2</v>
      </c>
      <c r="AN205" s="978">
        <v>58000</v>
      </c>
      <c r="AO205" s="782">
        <f t="shared" si="308"/>
        <v>1.0357142857142856E-2</v>
      </c>
      <c r="AP205" s="450">
        <f t="shared" si="309"/>
        <v>-12193.333333333328</v>
      </c>
      <c r="AQ205" s="451">
        <f t="shared" si="310"/>
        <v>-0.21022988505747117</v>
      </c>
      <c r="AR205" s="1018">
        <v>47341</v>
      </c>
      <c r="AS205" s="748">
        <f t="shared" si="311"/>
        <v>9.9333155821557436E-3</v>
      </c>
      <c r="AT205" s="902">
        <v>59341</v>
      </c>
      <c r="AU205" s="748">
        <f t="shared" si="312"/>
        <v>1.1050414104217391E-2</v>
      </c>
      <c r="AV205" s="450">
        <f t="shared" si="313"/>
        <v>-11201</v>
      </c>
      <c r="AW205" s="452">
        <f t="shared" si="314"/>
        <v>-0.2366025221266978</v>
      </c>
    </row>
    <row r="206" spans="1:50" ht="18" hidden="1" customHeight="1" x14ac:dyDescent="0.25">
      <c r="A206" s="104">
        <v>5</v>
      </c>
      <c r="B206" s="107"/>
      <c r="C206" s="78" t="s">
        <v>21</v>
      </c>
      <c r="D206" s="56"/>
      <c r="E206" s="57"/>
      <c r="F206" s="167"/>
      <c r="G206" s="166"/>
      <c r="H206" s="126"/>
      <c r="I206" s="57"/>
      <c r="J206" s="167"/>
      <c r="K206" s="166">
        <f t="shared" si="291"/>
        <v>0</v>
      </c>
      <c r="L206" s="306"/>
      <c r="M206" s="214">
        <f t="shared" si="292"/>
        <v>0</v>
      </c>
      <c r="N206" s="508">
        <v>0</v>
      </c>
      <c r="O206" s="509">
        <f t="shared" si="293"/>
        <v>0</v>
      </c>
      <c r="P206" s="655">
        <v>3216</v>
      </c>
      <c r="Q206" s="356">
        <f t="shared" si="294"/>
        <v>5.5373931585300904E-4</v>
      </c>
      <c r="R206" s="508">
        <v>5269</v>
      </c>
      <c r="S206" s="509">
        <f t="shared" si="295"/>
        <v>9.9613362520987537E-4</v>
      </c>
      <c r="T206" s="355">
        <v>20000</v>
      </c>
      <c r="U206" s="356">
        <f t="shared" si="296"/>
        <v>4.1141969416705615E-3</v>
      </c>
      <c r="V206" s="655">
        <v>107557</v>
      </c>
      <c r="W206" s="860">
        <f t="shared" si="297"/>
        <v>1.9963327776879647E-2</v>
      </c>
      <c r="X206" s="655">
        <v>105756</v>
      </c>
      <c r="Y206" s="860">
        <f t="shared" si="298"/>
        <v>1.9646067609847332E-2</v>
      </c>
      <c r="Z206" s="1084">
        <v>27170</v>
      </c>
      <c r="AA206" s="1050">
        <f t="shared" si="299"/>
        <v>5.5167512690355329E-3</v>
      </c>
      <c r="AB206" s="1144">
        <f t="shared" si="300"/>
        <v>-22040</v>
      </c>
      <c r="AC206" s="1136"/>
      <c r="AD206" s="557">
        <f>36737+4271</f>
        <v>41008</v>
      </c>
      <c r="AE206" s="748">
        <f t="shared" si="301"/>
        <v>9.0078355077154639E-3</v>
      </c>
      <c r="AF206" s="978">
        <f t="shared" si="302"/>
        <v>40844.299999999996</v>
      </c>
      <c r="AG206" s="782">
        <f t="shared" si="303"/>
        <v>8.5818891615679418E-3</v>
      </c>
      <c r="AH206" s="1001">
        <f t="shared" si="304"/>
        <v>163.70000000000437</v>
      </c>
      <c r="AI206" s="451">
        <f t="shared" si="305"/>
        <v>4.0079031835532596E-3</v>
      </c>
      <c r="AJ206" s="1084">
        <v>49210</v>
      </c>
      <c r="AK206" s="1050">
        <f t="shared" si="306"/>
        <v>9.1981308411214959E-3</v>
      </c>
      <c r="AL206" s="840">
        <v>47585</v>
      </c>
      <c r="AM206" s="586">
        <f t="shared" si="307"/>
        <v>8.4973214285714287E-3</v>
      </c>
      <c r="AN206" s="978">
        <v>47585</v>
      </c>
      <c r="AO206" s="782">
        <f t="shared" si="308"/>
        <v>8.4973214285714287E-3</v>
      </c>
      <c r="AP206" s="450">
        <f t="shared" si="309"/>
        <v>1353.8333333333358</v>
      </c>
      <c r="AQ206" s="451">
        <f t="shared" si="310"/>
        <v>2.8450842352281933E-2</v>
      </c>
      <c r="AR206" s="1018">
        <v>87377</v>
      </c>
      <c r="AS206" s="748">
        <f t="shared" si="311"/>
        <v>1.8333861042690743E-2</v>
      </c>
      <c r="AT206" s="902">
        <v>104852</v>
      </c>
      <c r="AU206" s="748">
        <f t="shared" si="312"/>
        <v>1.9525421203811899E-2</v>
      </c>
      <c r="AV206" s="450">
        <f t="shared" si="313"/>
        <v>-46369</v>
      </c>
      <c r="AW206" s="452">
        <f t="shared" si="314"/>
        <v>-0.53067740938690955</v>
      </c>
    </row>
    <row r="207" spans="1:50" ht="18" hidden="1" customHeight="1" x14ac:dyDescent="0.25">
      <c r="A207" s="956">
        <v>6</v>
      </c>
      <c r="B207" s="107"/>
      <c r="C207" s="944" t="s">
        <v>372</v>
      </c>
      <c r="D207" s="56"/>
      <c r="E207" s="57"/>
      <c r="F207" s="167"/>
      <c r="G207" s="166"/>
      <c r="H207" s="126"/>
      <c r="I207" s="57"/>
      <c r="J207" s="167"/>
      <c r="K207" s="166"/>
      <c r="L207" s="306"/>
      <c r="M207" s="214"/>
      <c r="N207" s="508"/>
      <c r="O207" s="509"/>
      <c r="P207" s="655"/>
      <c r="Q207" s="356"/>
      <c r="R207" s="508"/>
      <c r="S207" s="509"/>
      <c r="T207" s="355"/>
      <c r="U207" s="356"/>
      <c r="V207" s="655"/>
      <c r="W207" s="860"/>
      <c r="X207" s="655"/>
      <c r="Y207" s="860"/>
      <c r="Z207" s="1084">
        <v>15390</v>
      </c>
      <c r="AA207" s="1050">
        <f t="shared" si="299"/>
        <v>3.1248730964467007E-3</v>
      </c>
      <c r="AB207" s="1144">
        <f t="shared" si="300"/>
        <v>-240</v>
      </c>
      <c r="AC207" s="1136"/>
      <c r="AD207" s="938">
        <v>15631</v>
      </c>
      <c r="AE207" s="748">
        <f t="shared" si="301"/>
        <v>3.4335124078496977E-3</v>
      </c>
      <c r="AF207" s="978">
        <v>15630</v>
      </c>
      <c r="AG207" s="782">
        <f t="shared" si="303"/>
        <v>3.284054998991461E-3</v>
      </c>
      <c r="AH207" s="1001">
        <f t="shared" si="304"/>
        <v>1</v>
      </c>
      <c r="AI207" s="451">
        <f t="shared" si="305"/>
        <v>6.3979526551503522E-5</v>
      </c>
      <c r="AJ207" s="1084">
        <v>15630</v>
      </c>
      <c r="AK207" s="1050">
        <f t="shared" si="306"/>
        <v>2.9214953271028037E-3</v>
      </c>
      <c r="AL207" s="939">
        <v>15500</v>
      </c>
      <c r="AM207" s="937">
        <f t="shared" si="307"/>
        <v>2.7678571428571427E-3</v>
      </c>
      <c r="AN207" s="978">
        <v>15500</v>
      </c>
      <c r="AO207" s="782">
        <f t="shared" si="308"/>
        <v>2.7678571428571427E-3</v>
      </c>
      <c r="AP207" s="1001">
        <f>$AD207-(AL207*$AX$4)</f>
        <v>131</v>
      </c>
      <c r="AQ207" s="451">
        <f t="shared" si="310"/>
        <v>8.4516129032258056E-3</v>
      </c>
      <c r="AR207" s="938">
        <v>0</v>
      </c>
      <c r="AS207" s="748">
        <f t="shared" si="311"/>
        <v>0</v>
      </c>
      <c r="AT207" s="902"/>
      <c r="AU207" s="748"/>
      <c r="AV207" s="450">
        <f t="shared" si="313"/>
        <v>15631</v>
      </c>
      <c r="AW207" s="452" t="e">
        <f t="shared" si="314"/>
        <v>#DIV/0!</v>
      </c>
      <c r="AX207" s="266" t="s">
        <v>330</v>
      </c>
    </row>
    <row r="208" spans="1:50" ht="18" hidden="1" customHeight="1" x14ac:dyDescent="0.25">
      <c r="A208" s="956">
        <v>7</v>
      </c>
      <c r="B208" s="107"/>
      <c r="C208" s="78" t="s">
        <v>319</v>
      </c>
      <c r="D208" s="56"/>
      <c r="E208" s="57"/>
      <c r="F208" s="167"/>
      <c r="G208" s="166"/>
      <c r="H208" s="126"/>
      <c r="I208" s="57"/>
      <c r="J208" s="167"/>
      <c r="K208" s="166"/>
      <c r="L208" s="306"/>
      <c r="M208" s="214"/>
      <c r="N208" s="508">
        <v>0</v>
      </c>
      <c r="O208" s="509">
        <f t="shared" si="293"/>
        <v>0</v>
      </c>
      <c r="P208" s="655">
        <v>3546</v>
      </c>
      <c r="Q208" s="356">
        <f t="shared" si="294"/>
        <v>6.1055958147225445E-4</v>
      </c>
      <c r="R208" s="508">
        <v>3771</v>
      </c>
      <c r="S208" s="509">
        <f t="shared" si="295"/>
        <v>7.1292843056869229E-4</v>
      </c>
      <c r="T208" s="355">
        <v>3996</v>
      </c>
      <c r="U208" s="356">
        <f t="shared" si="296"/>
        <v>8.2201654894577822E-4</v>
      </c>
      <c r="V208" s="655">
        <v>4536</v>
      </c>
      <c r="W208" s="860">
        <f t="shared" si="297"/>
        <v>8.4191316972327299E-4</v>
      </c>
      <c r="X208" s="655">
        <v>4556</v>
      </c>
      <c r="Y208" s="860">
        <f t="shared" si="298"/>
        <v>8.4635844803570908E-4</v>
      </c>
      <c r="Z208" s="1084">
        <v>3500</v>
      </c>
      <c r="AA208" s="1050">
        <f t="shared" si="299"/>
        <v>7.1065989847715735E-4</v>
      </c>
      <c r="AB208" s="1144">
        <f t="shared" si="300"/>
        <v>260</v>
      </c>
      <c r="AC208" s="1136"/>
      <c r="AD208" s="557">
        <v>3240</v>
      </c>
      <c r="AE208" s="748">
        <f t="shared" ref="AE208:AE213" si="315">AD208/AD$11</f>
        <v>7.1169984015309455E-4</v>
      </c>
      <c r="AF208" s="978">
        <v>3240</v>
      </c>
      <c r="AG208" s="782">
        <f t="shared" si="303"/>
        <v>6.8076380017481337E-4</v>
      </c>
      <c r="AH208" s="1001">
        <f t="shared" si="304"/>
        <v>0</v>
      </c>
      <c r="AI208" s="451">
        <f t="shared" si="305"/>
        <v>0</v>
      </c>
      <c r="AJ208" s="1084">
        <v>3240</v>
      </c>
      <c r="AK208" s="1050">
        <f t="shared" si="306"/>
        <v>6.0560747663551402E-4</v>
      </c>
      <c r="AL208" s="840">
        <v>5100</v>
      </c>
      <c r="AM208" s="586">
        <f t="shared" si="307"/>
        <v>9.1071428571428575E-4</v>
      </c>
      <c r="AN208" s="978">
        <v>5100</v>
      </c>
      <c r="AO208" s="782">
        <f t="shared" si="308"/>
        <v>9.1071428571428575E-4</v>
      </c>
      <c r="AP208" s="1001">
        <f>$AD208-(AL208*$AX$6)</f>
        <v>3240</v>
      </c>
      <c r="AQ208" s="451">
        <f t="shared" si="310"/>
        <v>0.63529411764705879</v>
      </c>
      <c r="AR208" s="1019">
        <v>3456</v>
      </c>
      <c r="AS208" s="748">
        <f t="shared" si="311"/>
        <v>7.2515448875034856E-4</v>
      </c>
      <c r="AT208" s="902">
        <v>3456</v>
      </c>
      <c r="AU208" s="748">
        <f t="shared" si="312"/>
        <v>6.4357242284719348E-4</v>
      </c>
      <c r="AV208" s="450">
        <f t="shared" si="313"/>
        <v>-216</v>
      </c>
      <c r="AW208" s="452">
        <f t="shared" si="314"/>
        <v>-6.25E-2</v>
      </c>
      <c r="AX208" s="266" t="s">
        <v>330</v>
      </c>
    </row>
    <row r="209" spans="1:50" ht="18" hidden="1" customHeight="1" x14ac:dyDescent="0.25">
      <c r="A209" s="956">
        <v>8</v>
      </c>
      <c r="B209" s="107" t="s">
        <v>134</v>
      </c>
      <c r="C209" s="78" t="s">
        <v>314</v>
      </c>
      <c r="D209" s="56"/>
      <c r="E209" s="57">
        <f t="shared" ref="E209:E213" si="316">D209/D$11</f>
        <v>0</v>
      </c>
      <c r="F209" s="167"/>
      <c r="G209" s="166">
        <f t="shared" ref="G209:G213" si="317">F209/F$11</f>
        <v>0</v>
      </c>
      <c r="H209" s="126"/>
      <c r="I209" s="57">
        <f t="shared" ref="I209:I213" si="318">H209/H$11</f>
        <v>0</v>
      </c>
      <c r="J209" s="167"/>
      <c r="K209" s="166">
        <f t="shared" ref="K209:K213" si="319">J209/J$11</f>
        <v>0</v>
      </c>
      <c r="L209" s="306"/>
      <c r="M209" s="214">
        <f t="shared" ref="M209:M213" si="320">L209/L$11</f>
        <v>0</v>
      </c>
      <c r="N209" s="508">
        <v>70579</v>
      </c>
      <c r="O209" s="509">
        <f t="shared" si="293"/>
        <v>1.2992014160722954E-2</v>
      </c>
      <c r="P209" s="655">
        <v>12168</v>
      </c>
      <c r="Q209" s="356">
        <f t="shared" si="294"/>
        <v>2.0951181577423552E-3</v>
      </c>
      <c r="R209" s="508">
        <v>6520</v>
      </c>
      <c r="S209" s="509">
        <f t="shared" si="295"/>
        <v>1.2326421021765775E-3</v>
      </c>
      <c r="T209" s="355">
        <f>700+2500+2500</f>
        <v>5700</v>
      </c>
      <c r="U209" s="356">
        <f t="shared" si="296"/>
        <v>1.1725461283761101E-3</v>
      </c>
      <c r="V209" s="655">
        <v>5713</v>
      </c>
      <c r="W209" s="860">
        <f t="shared" si="297"/>
        <v>1.0603725614261594E-3</v>
      </c>
      <c r="X209" s="655">
        <v>4680</v>
      </c>
      <c r="Y209" s="860">
        <f t="shared" si="298"/>
        <v>8.6939366479524109E-4</v>
      </c>
      <c r="Z209" s="1084">
        <v>5000</v>
      </c>
      <c r="AA209" s="1050">
        <f t="shared" si="299"/>
        <v>1.0152284263959391E-3</v>
      </c>
      <c r="AB209" s="1144">
        <f t="shared" si="300"/>
        <v>0</v>
      </c>
      <c r="AC209" s="1136"/>
      <c r="AD209" s="557">
        <v>4905</v>
      </c>
      <c r="AE209" s="748">
        <f t="shared" si="315"/>
        <v>1.0774344802317681E-3</v>
      </c>
      <c r="AF209" s="978">
        <v>5000</v>
      </c>
      <c r="AG209" s="782">
        <f t="shared" si="303"/>
        <v>1.0505614200228602E-3</v>
      </c>
      <c r="AH209" s="1001">
        <f t="shared" si="304"/>
        <v>-95</v>
      </c>
      <c r="AI209" s="451">
        <f t="shared" si="305"/>
        <v>-1.9E-2</v>
      </c>
      <c r="AJ209" s="1084">
        <v>5000</v>
      </c>
      <c r="AK209" s="1050">
        <f t="shared" si="306"/>
        <v>9.3457943925233649E-4</v>
      </c>
      <c r="AL209" s="840">
        <v>5000</v>
      </c>
      <c r="AM209" s="586">
        <f t="shared" si="307"/>
        <v>8.9285714285714283E-4</v>
      </c>
      <c r="AN209" s="978">
        <v>5000</v>
      </c>
      <c r="AO209" s="782">
        <f t="shared" si="308"/>
        <v>8.9285714285714283E-4</v>
      </c>
      <c r="AP209" s="1001">
        <f>$AD209-(AL209*$AX$4)</f>
        <v>-95</v>
      </c>
      <c r="AQ209" s="451">
        <f t="shared" si="310"/>
        <v>-1.9E-2</v>
      </c>
      <c r="AR209" s="1019">
        <v>4680</v>
      </c>
      <c r="AS209" s="748">
        <f t="shared" si="311"/>
        <v>9.8198003684943033E-4</v>
      </c>
      <c r="AT209" s="902">
        <v>4680</v>
      </c>
      <c r="AU209" s="748">
        <f t="shared" si="312"/>
        <v>8.7150432260557447E-4</v>
      </c>
      <c r="AV209" s="450">
        <f t="shared" si="313"/>
        <v>225</v>
      </c>
      <c r="AW209" s="452">
        <f t="shared" si="314"/>
        <v>4.807692307692308E-2</v>
      </c>
      <c r="AX209" s="266" t="s">
        <v>330</v>
      </c>
    </row>
    <row r="210" spans="1:50" ht="18" hidden="1" customHeight="1" x14ac:dyDescent="0.25">
      <c r="A210" s="956">
        <v>9</v>
      </c>
      <c r="B210" s="107" t="s">
        <v>135</v>
      </c>
      <c r="C210" s="78" t="s">
        <v>195</v>
      </c>
      <c r="D210" s="56">
        <v>8953</v>
      </c>
      <c r="E210" s="57">
        <f t="shared" si="316"/>
        <v>1.7007868740909586E-3</v>
      </c>
      <c r="F210" s="167">
        <v>6633</v>
      </c>
      <c r="G210" s="166">
        <f t="shared" si="317"/>
        <v>1.297502469127833E-3</v>
      </c>
      <c r="H210" s="126">
        <v>4125</v>
      </c>
      <c r="I210" s="57">
        <f t="shared" si="318"/>
        <v>7.5618684579526201E-4</v>
      </c>
      <c r="J210" s="167">
        <v>4778</v>
      </c>
      <c r="K210" s="166">
        <f t="shared" si="319"/>
        <v>8.5503566436432178E-4</v>
      </c>
      <c r="L210" s="306">
        <v>8243</v>
      </c>
      <c r="M210" s="214">
        <f t="shared" si="320"/>
        <v>1.6064142759813101E-3</v>
      </c>
      <c r="N210" s="508">
        <v>0</v>
      </c>
      <c r="O210" s="509">
        <f t="shared" si="293"/>
        <v>0</v>
      </c>
      <c r="P210" s="655">
        <v>6915</v>
      </c>
      <c r="Q210" s="356">
        <f t="shared" si="294"/>
        <v>1.1906428386578227E-3</v>
      </c>
      <c r="R210" s="508">
        <v>7811</v>
      </c>
      <c r="S210" s="509">
        <f t="shared" si="295"/>
        <v>1.4767128006290256E-3</v>
      </c>
      <c r="T210" s="355">
        <v>8404</v>
      </c>
      <c r="U210" s="356">
        <f t="shared" si="296"/>
        <v>1.72878555488997E-3</v>
      </c>
      <c r="V210" s="655">
        <v>8821</v>
      </c>
      <c r="W210" s="860">
        <f t="shared" si="297"/>
        <v>1.6372389925328463E-3</v>
      </c>
      <c r="X210" s="655">
        <v>10614</v>
      </c>
      <c r="Y210" s="860">
        <f t="shared" si="298"/>
        <v>1.9717402474651044E-3</v>
      </c>
      <c r="Z210" s="1084">
        <v>11135</v>
      </c>
      <c r="AA210" s="1050">
        <f t="shared" si="299"/>
        <v>2.2609137055837562E-3</v>
      </c>
      <c r="AB210" s="1144">
        <f t="shared" si="300"/>
        <v>275</v>
      </c>
      <c r="AC210" s="1136"/>
      <c r="AD210" s="557">
        <v>8040</v>
      </c>
      <c r="AE210" s="748">
        <f t="shared" si="315"/>
        <v>1.7660699737132347E-3</v>
      </c>
      <c r="AF210" s="978">
        <f t="shared" si="302"/>
        <v>9013.7999999999993</v>
      </c>
      <c r="AG210" s="782">
        <f t="shared" si="303"/>
        <v>1.8939101055604113E-3</v>
      </c>
      <c r="AH210" s="1001">
        <f t="shared" si="304"/>
        <v>-973.79999999999927</v>
      </c>
      <c r="AI210" s="451">
        <f t="shared" si="305"/>
        <v>-0.10803434733408766</v>
      </c>
      <c r="AJ210" s="1084">
        <v>10860</v>
      </c>
      <c r="AK210" s="1050">
        <f t="shared" si="306"/>
        <v>2.0299065420560747E-3</v>
      </c>
      <c r="AL210" s="840">
        <v>10885</v>
      </c>
      <c r="AM210" s="586">
        <f t="shared" si="307"/>
        <v>1.9437499999999999E-3</v>
      </c>
      <c r="AN210" s="978">
        <v>10885</v>
      </c>
      <c r="AO210" s="782">
        <f t="shared" si="308"/>
        <v>1.9437499999999999E-3</v>
      </c>
      <c r="AP210" s="450">
        <f t="shared" ref="AP210:AP212" si="321">$AD210-(AL210/12*$AX$1)</f>
        <v>-1030.8333333333339</v>
      </c>
      <c r="AQ210" s="451">
        <f t="shared" si="310"/>
        <v>-9.4702189557495084E-2</v>
      </c>
      <c r="AR210" s="1020">
        <v>11593</v>
      </c>
      <c r="AS210" s="748">
        <f t="shared" si="311"/>
        <v>2.432498839144326E-3</v>
      </c>
      <c r="AT210" s="902">
        <v>13881</v>
      </c>
      <c r="AU210" s="748">
        <f t="shared" si="312"/>
        <v>2.5849041671128161E-3</v>
      </c>
      <c r="AV210" s="450">
        <f t="shared" si="313"/>
        <v>-3553</v>
      </c>
      <c r="AW210" s="452">
        <f t="shared" si="314"/>
        <v>-0.30647804709738635</v>
      </c>
    </row>
    <row r="211" spans="1:50" ht="18" hidden="1" customHeight="1" x14ac:dyDescent="0.25">
      <c r="A211" s="956">
        <v>10</v>
      </c>
      <c r="B211" s="107" t="s">
        <v>136</v>
      </c>
      <c r="C211" s="78" t="s">
        <v>5</v>
      </c>
      <c r="D211" s="56">
        <v>8556</v>
      </c>
      <c r="E211" s="57">
        <f t="shared" si="316"/>
        <v>1.6253694286520988E-3</v>
      </c>
      <c r="F211" s="167">
        <v>8894</v>
      </c>
      <c r="G211" s="166">
        <f t="shared" si="317"/>
        <v>1.7397839530262245E-3</v>
      </c>
      <c r="H211" s="126">
        <v>9148</v>
      </c>
      <c r="I211" s="57">
        <f t="shared" si="318"/>
        <v>1.6769932764448623E-3</v>
      </c>
      <c r="J211" s="167">
        <v>9014</v>
      </c>
      <c r="K211" s="166">
        <f t="shared" si="319"/>
        <v>1.6130790034700705E-3</v>
      </c>
      <c r="L211" s="306">
        <v>9527</v>
      </c>
      <c r="M211" s="214">
        <f t="shared" si="320"/>
        <v>1.8566430677270339E-3</v>
      </c>
      <c r="N211" s="508">
        <v>0</v>
      </c>
      <c r="O211" s="509">
        <f t="shared" si="293"/>
        <v>0</v>
      </c>
      <c r="P211" s="655">
        <v>9103</v>
      </c>
      <c r="Q211" s="356">
        <f t="shared" si="294"/>
        <v>1.5673784179757282E-3</v>
      </c>
      <c r="R211" s="508">
        <v>9649</v>
      </c>
      <c r="S211" s="509">
        <f t="shared" si="295"/>
        <v>1.8241968778990485E-3</v>
      </c>
      <c r="T211" s="355">
        <v>9888</v>
      </c>
      <c r="U211" s="356">
        <f t="shared" si="296"/>
        <v>2.0340589679619255E-3</v>
      </c>
      <c r="V211" s="655">
        <v>8785</v>
      </c>
      <c r="W211" s="860">
        <f t="shared" si="297"/>
        <v>1.6305571419794871E-3</v>
      </c>
      <c r="X211" s="655">
        <v>9337</v>
      </c>
      <c r="Y211" s="860">
        <f t="shared" si="298"/>
        <v>1.7345146684173431E-3</v>
      </c>
      <c r="Z211" s="1084">
        <v>6605</v>
      </c>
      <c r="AA211" s="1050">
        <f t="shared" si="299"/>
        <v>1.3411167512690355E-3</v>
      </c>
      <c r="AB211" s="1144">
        <f t="shared" si="300"/>
        <v>-95</v>
      </c>
      <c r="AC211" s="1136"/>
      <c r="AD211" s="557">
        <v>4967</v>
      </c>
      <c r="AE211" s="748">
        <f t="shared" si="315"/>
        <v>1.0910534277902533E-3</v>
      </c>
      <c r="AF211" s="978">
        <f t="shared" si="302"/>
        <v>5561</v>
      </c>
      <c r="AG211" s="782">
        <f t="shared" si="303"/>
        <v>1.1684344113494251E-3</v>
      </c>
      <c r="AH211" s="1001">
        <f t="shared" si="304"/>
        <v>-594</v>
      </c>
      <c r="AI211" s="451">
        <f t="shared" si="305"/>
        <v>-0.10681532098543428</v>
      </c>
      <c r="AJ211" s="1084">
        <v>6700</v>
      </c>
      <c r="AK211" s="1050">
        <f t="shared" si="306"/>
        <v>1.2523364485981308E-3</v>
      </c>
      <c r="AL211" s="840">
        <v>5820</v>
      </c>
      <c r="AM211" s="586">
        <f t="shared" si="307"/>
        <v>1.0392857142857144E-3</v>
      </c>
      <c r="AN211" s="978">
        <v>5820</v>
      </c>
      <c r="AO211" s="782">
        <f t="shared" si="308"/>
        <v>1.0392857142857144E-3</v>
      </c>
      <c r="AP211" s="450">
        <f t="shared" si="321"/>
        <v>117</v>
      </c>
      <c r="AQ211" s="451">
        <f t="shared" si="310"/>
        <v>2.0103092783505156E-2</v>
      </c>
      <c r="AR211" s="1020">
        <v>7653</v>
      </c>
      <c r="AS211" s="748">
        <f t="shared" si="311"/>
        <v>1.6057891500018569E-3</v>
      </c>
      <c r="AT211" s="902">
        <v>9195</v>
      </c>
      <c r="AU211" s="748">
        <f t="shared" si="312"/>
        <v>1.7122825312731319E-3</v>
      </c>
      <c r="AV211" s="450">
        <f t="shared" si="313"/>
        <v>-2686</v>
      </c>
      <c r="AW211" s="452">
        <f t="shared" si="314"/>
        <v>-0.35097347445446231</v>
      </c>
    </row>
    <row r="212" spans="1:50" ht="18" hidden="1" customHeight="1" x14ac:dyDescent="0.25">
      <c r="A212" s="956">
        <v>11</v>
      </c>
      <c r="B212" s="107" t="s">
        <v>137</v>
      </c>
      <c r="C212" s="79" t="s">
        <v>196</v>
      </c>
      <c r="D212" s="58">
        <v>5208</v>
      </c>
      <c r="E212" s="59">
        <f t="shared" si="316"/>
        <v>9.8935530439692968E-4</v>
      </c>
      <c r="F212" s="168">
        <v>6593</v>
      </c>
      <c r="G212" s="169">
        <f t="shared" si="317"/>
        <v>1.2896779404432087E-3</v>
      </c>
      <c r="H212" s="127">
        <v>6761</v>
      </c>
      <c r="I212" s="59">
        <f t="shared" si="318"/>
        <v>1.2394131550113373E-3</v>
      </c>
      <c r="J212" s="168">
        <v>7288</v>
      </c>
      <c r="K212" s="169">
        <f t="shared" si="319"/>
        <v>1.3042067647315147E-3</v>
      </c>
      <c r="L212" s="308">
        <v>7271</v>
      </c>
      <c r="M212" s="215">
        <f t="shared" si="320"/>
        <v>1.4169887420429582E-3</v>
      </c>
      <c r="N212" s="511">
        <v>0</v>
      </c>
      <c r="O212" s="512">
        <f t="shared" si="293"/>
        <v>0</v>
      </c>
      <c r="P212" s="657">
        <v>6388</v>
      </c>
      <c r="Q212" s="359">
        <f t="shared" si="294"/>
        <v>1.0999025962901187E-3</v>
      </c>
      <c r="R212" s="511">
        <v>6948</v>
      </c>
      <c r="S212" s="512">
        <f t="shared" si="295"/>
        <v>1.3135578720740583E-3</v>
      </c>
      <c r="T212" s="358">
        <v>7119</v>
      </c>
      <c r="U212" s="359">
        <f t="shared" si="296"/>
        <v>1.4644484013876364E-3</v>
      </c>
      <c r="V212" s="657">
        <v>7111</v>
      </c>
      <c r="W212" s="861">
        <f t="shared" si="297"/>
        <v>1.3198510912482793E-3</v>
      </c>
      <c r="X212" s="657">
        <v>8380</v>
      </c>
      <c r="Y212" s="861">
        <f t="shared" si="298"/>
        <v>1.556734810039342E-3</v>
      </c>
      <c r="Z212" s="1085">
        <v>9035</v>
      </c>
      <c r="AA212" s="1053">
        <f t="shared" si="299"/>
        <v>1.834517766497462E-3</v>
      </c>
      <c r="AB212" s="1144">
        <f t="shared" si="300"/>
        <v>-1350</v>
      </c>
      <c r="AC212" s="495"/>
      <c r="AD212" s="557">
        <v>7355</v>
      </c>
      <c r="AE212" s="749">
        <f t="shared" si="315"/>
        <v>1.615602569236423E-3</v>
      </c>
      <c r="AF212" s="978">
        <f t="shared" si="302"/>
        <v>8619.5499999999993</v>
      </c>
      <c r="AG212" s="785">
        <f t="shared" si="303"/>
        <v>1.8110733375916088E-3</v>
      </c>
      <c r="AH212" s="1001">
        <f t="shared" si="304"/>
        <v>-1264.5499999999993</v>
      </c>
      <c r="AI212" s="451">
        <f t="shared" si="305"/>
        <v>-0.1467071946911381</v>
      </c>
      <c r="AJ212" s="1085">
        <v>10385</v>
      </c>
      <c r="AK212" s="1053">
        <f t="shared" si="306"/>
        <v>1.9411214953271028E-3</v>
      </c>
      <c r="AL212" s="841">
        <v>10385</v>
      </c>
      <c r="AM212" s="589">
        <f t="shared" si="307"/>
        <v>1.8544642857142857E-3</v>
      </c>
      <c r="AN212" s="979">
        <v>10385</v>
      </c>
      <c r="AO212" s="785">
        <f t="shared" si="308"/>
        <v>1.8544642857142857E-3</v>
      </c>
      <c r="AP212" s="450">
        <f t="shared" si="321"/>
        <v>-1299.1666666666661</v>
      </c>
      <c r="AQ212" s="451">
        <f t="shared" si="310"/>
        <v>-0.12510030492697796</v>
      </c>
      <c r="AR212" s="1020">
        <v>6986</v>
      </c>
      <c r="AS212" s="749">
        <f t="shared" si="311"/>
        <v>1.4658360122713932E-3</v>
      </c>
      <c r="AT212" s="902">
        <v>8420</v>
      </c>
      <c r="AU212" s="749">
        <f t="shared" si="312"/>
        <v>1.5679629052006276E-3</v>
      </c>
      <c r="AV212" s="450">
        <f t="shared" si="313"/>
        <v>369</v>
      </c>
      <c r="AW212" s="482">
        <f t="shared" si="314"/>
        <v>5.2819925565416551E-2</v>
      </c>
    </row>
    <row r="213" spans="1:50" ht="17.25" hidden="1" customHeight="1" thickBot="1" x14ac:dyDescent="0.3">
      <c r="A213" s="100"/>
      <c r="B213" s="101"/>
      <c r="C213" s="85" t="s">
        <v>197</v>
      </c>
      <c r="D213" s="39">
        <f>SUM(D202:D212)</f>
        <v>153994</v>
      </c>
      <c r="E213" s="41">
        <f t="shared" si="316"/>
        <v>2.9253990158467896E-2</v>
      </c>
      <c r="F213" s="182">
        <f>SUM(F202:F212)</f>
        <v>159206</v>
      </c>
      <c r="G213" s="183">
        <f t="shared" si="317"/>
        <v>3.114279784410761E-2</v>
      </c>
      <c r="H213" s="135">
        <f>SUM(H202:H212)</f>
        <v>182405</v>
      </c>
      <c r="I213" s="41">
        <f t="shared" si="318"/>
        <v>3.3438124026008431E-2</v>
      </c>
      <c r="J213" s="182">
        <f>SUM(J202:J212)</f>
        <v>186322</v>
      </c>
      <c r="K213" s="183">
        <f t="shared" si="319"/>
        <v>3.3342811857615985E-2</v>
      </c>
      <c r="L213" s="319">
        <f>SUM(L202:L212)</f>
        <v>178221</v>
      </c>
      <c r="M213" s="223">
        <f t="shared" si="320"/>
        <v>3.4732107082332285E-2</v>
      </c>
      <c r="N213" s="533">
        <f>SUM(N202:N212)</f>
        <v>239685</v>
      </c>
      <c r="O213" s="534">
        <f t="shared" si="293"/>
        <v>4.412064373415437E-2</v>
      </c>
      <c r="P213" s="675">
        <f>SUM(P202:P212)</f>
        <v>262626</v>
      </c>
      <c r="Q213" s="381">
        <f t="shared" si="294"/>
        <v>4.5219633571272497E-2</v>
      </c>
      <c r="R213" s="533">
        <f>SUM(R202:R212)</f>
        <v>304892</v>
      </c>
      <c r="S213" s="534">
        <f t="shared" si="295"/>
        <v>5.7641520830800777E-2</v>
      </c>
      <c r="T213" s="380">
        <f>SUM(T202:T212)</f>
        <v>231283</v>
      </c>
      <c r="U213" s="381">
        <f t="shared" si="296"/>
        <v>4.7577190563019622E-2</v>
      </c>
      <c r="V213" s="675">
        <f>SUM(V202:V212)</f>
        <v>343473</v>
      </c>
      <c r="W213" s="872">
        <f t="shared" si="297"/>
        <v>6.3750979308721728E-2</v>
      </c>
      <c r="X213" s="675">
        <f>SUM(X202:X212)</f>
        <v>437620</v>
      </c>
      <c r="Y213" s="872">
        <f t="shared" si="298"/>
        <v>8.1295738373438758E-2</v>
      </c>
      <c r="Z213" s="1081">
        <f>SUM(Z202:Z212)</f>
        <v>231060</v>
      </c>
      <c r="AA213" s="1082">
        <f t="shared" si="299"/>
        <v>4.6915736040609134E-2</v>
      </c>
      <c r="AB213" s="1155">
        <f>SUM(AB202:AB212)</f>
        <v>-21005</v>
      </c>
      <c r="AC213" s="1137"/>
      <c r="AD213" s="558">
        <f>SUM(AD202:AD212)</f>
        <v>217176</v>
      </c>
      <c r="AE213" s="760">
        <f t="shared" si="315"/>
        <v>4.7704976692928537E-2</v>
      </c>
      <c r="AF213" s="1176">
        <f>SUM(AF202:AF212)</f>
        <v>213271.84999999998</v>
      </c>
      <c r="AG213" s="808">
        <f t="shared" si="303"/>
        <v>4.4811035517380485E-2</v>
      </c>
      <c r="AH213" s="474">
        <f>SUM(AH202:AH212)</f>
        <v>3904.1500000000087</v>
      </c>
      <c r="AI213" s="468">
        <f>AH213/AF213</f>
        <v>1.8305978965344038E-2</v>
      </c>
      <c r="AJ213" s="1081">
        <f>SUM(AJ202:AJ212)</f>
        <v>252065</v>
      </c>
      <c r="AK213" s="1082">
        <f t="shared" si="306"/>
        <v>4.7114953271028034E-2</v>
      </c>
      <c r="AL213" s="613">
        <f>SUM(AL202:AL212)</f>
        <v>266830</v>
      </c>
      <c r="AM213" s="614">
        <f t="shared" si="307"/>
        <v>4.7648214285714287E-2</v>
      </c>
      <c r="AN213" s="807">
        <f>SUM(AN202:AN212)</f>
        <v>266830</v>
      </c>
      <c r="AO213" s="808">
        <f t="shared" si="308"/>
        <v>4.7648214285714287E-2</v>
      </c>
      <c r="AP213" s="474">
        <f>SUM(AP202:AP212)</f>
        <v>-4298.9999999999964</v>
      </c>
      <c r="AQ213" s="468">
        <f>AP213/AN213</f>
        <v>-1.6111381778660557E-2</v>
      </c>
      <c r="AR213" s="739">
        <f>SUM(AR202:AR212)</f>
        <v>311093</v>
      </c>
      <c r="AS213" s="760">
        <f t="shared" si="311"/>
        <v>6.5275024701623899E-2</v>
      </c>
      <c r="AT213" s="903">
        <f>SUM(AT202:AT212)</f>
        <v>384414</v>
      </c>
      <c r="AU213" s="255">
        <f t="shared" si="312"/>
        <v>7.1585141596175059E-2</v>
      </c>
      <c r="AV213" s="474">
        <f>SUM(AV202:AV212)</f>
        <v>-93917</v>
      </c>
      <c r="AW213" s="469">
        <f t="shared" si="314"/>
        <v>-0.30189364595153217</v>
      </c>
    </row>
    <row r="214" spans="1:50" ht="17.25" hidden="1" customHeight="1" thickTop="1" x14ac:dyDescent="0.25">
      <c r="A214" s="100"/>
      <c r="B214" s="101"/>
      <c r="C214" s="76"/>
      <c r="D214" s="29"/>
      <c r="E214" s="32"/>
      <c r="F214" s="161"/>
      <c r="G214" s="171"/>
      <c r="H214" s="123"/>
      <c r="I214" s="32"/>
      <c r="J214" s="161"/>
      <c r="K214" s="171"/>
      <c r="L214" s="305"/>
      <c r="M214" s="217"/>
      <c r="N214" s="506"/>
      <c r="O214" s="514"/>
      <c r="P214" s="654"/>
      <c r="Q214" s="361"/>
      <c r="R214" s="506"/>
      <c r="S214" s="514"/>
      <c r="T214" s="353"/>
      <c r="U214" s="361"/>
      <c r="V214" s="698"/>
      <c r="W214" s="495"/>
      <c r="X214" s="889"/>
      <c r="Y214" s="495"/>
      <c r="Z214" s="1102"/>
      <c r="AA214" s="1103"/>
      <c r="AB214" s="1151"/>
      <c r="AC214" s="495"/>
      <c r="AD214" s="697"/>
      <c r="AE214" s="699"/>
      <c r="AF214" s="990"/>
      <c r="AG214" s="991"/>
      <c r="AH214" s="700"/>
      <c r="AI214" s="494"/>
      <c r="AJ214" s="1102"/>
      <c r="AK214" s="1103"/>
      <c r="AL214" s="716"/>
      <c r="AM214" s="766"/>
      <c r="AN214" s="990"/>
      <c r="AO214" s="991"/>
      <c r="AP214" s="700"/>
      <c r="AQ214" s="494"/>
      <c r="AR214" s="697"/>
      <c r="AS214" s="699"/>
      <c r="AT214" s="900"/>
      <c r="AU214" s="699"/>
      <c r="AV214" s="700"/>
      <c r="AW214" s="494"/>
    </row>
    <row r="215" spans="1:50" ht="18" hidden="1" customHeight="1" x14ac:dyDescent="0.25">
      <c r="A215" s="100"/>
      <c r="B215" s="101"/>
      <c r="C215" s="76" t="s">
        <v>359</v>
      </c>
      <c r="D215" s="29"/>
      <c r="E215" s="30"/>
      <c r="F215" s="161"/>
      <c r="G215" s="162"/>
      <c r="H215" s="123"/>
      <c r="I215" s="30"/>
      <c r="J215" s="161"/>
      <c r="K215" s="162"/>
      <c r="L215" s="305"/>
      <c r="M215" s="212"/>
      <c r="N215" s="506"/>
      <c r="O215" s="507"/>
      <c r="P215" s="654"/>
      <c r="Q215" s="354"/>
      <c r="R215" s="506"/>
      <c r="S215" s="507"/>
      <c r="T215" s="353"/>
      <c r="U215" s="354"/>
      <c r="V215" s="672"/>
      <c r="W215" s="673"/>
      <c r="X215" s="889"/>
      <c r="Y215" s="673"/>
      <c r="Z215" s="1075"/>
      <c r="AA215" s="1076"/>
      <c r="AB215" s="1149"/>
      <c r="AC215" s="1130"/>
      <c r="AD215" s="636"/>
      <c r="AE215" s="637"/>
      <c r="AF215" s="976"/>
      <c r="AG215" s="977"/>
      <c r="AH215" s="639"/>
      <c r="AI215" s="493"/>
      <c r="AJ215" s="1075"/>
      <c r="AK215" s="1076"/>
      <c r="AL215" s="720"/>
      <c r="AM215" s="719"/>
      <c r="AN215" s="976"/>
      <c r="AO215" s="977"/>
      <c r="AP215" s="639"/>
      <c r="AQ215" s="493"/>
      <c r="AR215" s="636"/>
      <c r="AS215" s="637"/>
      <c r="AT215" s="904"/>
      <c r="AU215" s="637"/>
      <c r="AV215" s="639"/>
      <c r="AW215" s="493"/>
    </row>
    <row r="216" spans="1:50" ht="18" hidden="1" customHeight="1" x14ac:dyDescent="0.25">
      <c r="A216" s="100"/>
      <c r="B216" s="101"/>
      <c r="C216" s="78" t="s">
        <v>186</v>
      </c>
      <c r="D216" s="109"/>
      <c r="E216" s="112"/>
      <c r="F216" s="180"/>
      <c r="G216" s="187"/>
      <c r="H216" s="134"/>
      <c r="I216" s="112"/>
      <c r="J216" s="180"/>
      <c r="K216" s="187"/>
      <c r="L216" s="318"/>
      <c r="M216" s="225"/>
      <c r="N216" s="531"/>
      <c r="O216" s="539"/>
      <c r="P216" s="674"/>
      <c r="Q216" s="386"/>
      <c r="R216" s="531"/>
      <c r="S216" s="539"/>
      <c r="T216" s="378"/>
      <c r="U216" s="386"/>
      <c r="V216" s="674"/>
      <c r="W216" s="874"/>
      <c r="X216" s="674">
        <v>2</v>
      </c>
      <c r="Y216" s="874"/>
      <c r="Z216" s="1077">
        <v>2</v>
      </c>
      <c r="AA216" s="1101"/>
      <c r="AB216" s="1156"/>
      <c r="AC216" s="1139"/>
      <c r="AD216" s="433">
        <v>2</v>
      </c>
      <c r="AE216" s="762"/>
      <c r="AF216" s="1177">
        <v>2</v>
      </c>
      <c r="AG216" s="814"/>
      <c r="AH216" s="475"/>
      <c r="AI216" s="451"/>
      <c r="AJ216" s="1077">
        <v>2</v>
      </c>
      <c r="AK216" s="1101"/>
      <c r="AL216" s="611">
        <v>2</v>
      </c>
      <c r="AM216" s="624"/>
      <c r="AN216" s="803">
        <v>2</v>
      </c>
      <c r="AO216" s="814"/>
      <c r="AP216" s="475"/>
      <c r="AQ216" s="451"/>
      <c r="AR216" s="734">
        <v>2</v>
      </c>
      <c r="AS216" s="762"/>
      <c r="AT216" s="901">
        <v>2</v>
      </c>
      <c r="AU216" s="257"/>
      <c r="AV216" s="475"/>
      <c r="AW216" s="452"/>
    </row>
    <row r="217" spans="1:50" ht="18" hidden="1" customHeight="1" x14ac:dyDescent="0.25">
      <c r="A217" s="104">
        <v>1</v>
      </c>
      <c r="B217" s="107" t="s">
        <v>140</v>
      </c>
      <c r="C217" s="78" t="s">
        <v>187</v>
      </c>
      <c r="D217" s="56"/>
      <c r="E217" s="57"/>
      <c r="F217" s="167"/>
      <c r="G217" s="166"/>
      <c r="H217" s="126"/>
      <c r="I217" s="57"/>
      <c r="J217" s="167"/>
      <c r="K217" s="166"/>
      <c r="L217" s="306"/>
      <c r="M217" s="214"/>
      <c r="N217" s="508"/>
      <c r="O217" s="509"/>
      <c r="P217" s="655"/>
      <c r="Q217" s="356"/>
      <c r="R217" s="508"/>
      <c r="S217" s="509"/>
      <c r="T217" s="355">
        <v>88380</v>
      </c>
      <c r="U217" s="368">
        <f t="shared" ref="U217:U225" si="322">T217/T$11</f>
        <v>1.8180636285242212E-2</v>
      </c>
      <c r="V217" s="655">
        <v>80681</v>
      </c>
      <c r="W217" s="871">
        <f t="shared" ref="W217:W225" si="323">V217/V$11</f>
        <v>1.4974955124877291E-2</v>
      </c>
      <c r="X217" s="890">
        <v>88606</v>
      </c>
      <c r="Y217" s="860">
        <f t="shared" ref="Y217:Y225" si="324">X217/X$11</f>
        <v>1.6460148517702378E-2</v>
      </c>
      <c r="Z217" s="1084">
        <v>72300</v>
      </c>
      <c r="AA217" s="1050">
        <f t="shared" ref="AA217:AA225" si="325">Z217/Z$11</f>
        <v>1.468020304568528E-2</v>
      </c>
      <c r="AB217" s="1144">
        <f t="shared" ref="AB217:AB224" si="326">Z217-AJ217</f>
        <v>-22950</v>
      </c>
      <c r="AC217" s="1136"/>
      <c r="AD217" s="557">
        <v>79235</v>
      </c>
      <c r="AE217" s="748">
        <f t="shared" ref="AE217:AE225" si="327">AD217/AD$11</f>
        <v>1.7404795319299522E-2</v>
      </c>
      <c r="AF217" s="978">
        <f t="shared" ref="AF217:AF224" si="328">AJ217*$AX$3</f>
        <v>79057.5</v>
      </c>
      <c r="AG217" s="782">
        <f t="shared" ref="AG217:AG225" si="329">AF217/AF$11</f>
        <v>1.6610951892691454E-2</v>
      </c>
      <c r="AH217" s="1001">
        <f t="shared" ref="AH217:AH224" si="330">AD217-AF217</f>
        <v>177.5</v>
      </c>
      <c r="AI217" s="451">
        <f t="shared" ref="AI217:AI224" si="331">AH217/AF217</f>
        <v>2.2452012775511497E-3</v>
      </c>
      <c r="AJ217" s="1084">
        <v>95250</v>
      </c>
      <c r="AK217" s="1050">
        <f t="shared" ref="AK217:AK225" si="332">AJ217/AJ$11</f>
        <v>1.7803738317757008E-2</v>
      </c>
      <c r="AL217" s="840">
        <v>94175</v>
      </c>
      <c r="AM217" s="586">
        <f t="shared" ref="AM217:AM225" si="333">AL217/AL$11</f>
        <v>1.6816964285714286E-2</v>
      </c>
      <c r="AN217" s="978">
        <v>94175</v>
      </c>
      <c r="AO217" s="782">
        <f t="shared" ref="AO217:AO225" si="334">AN217/AN$11</f>
        <v>1.6816964285714286E-2</v>
      </c>
      <c r="AP217" s="450">
        <f t="shared" ref="AP217:AP221" si="335">$AD217-(AL217/12*$AX$1)</f>
        <v>755.83333333332848</v>
      </c>
      <c r="AQ217" s="451">
        <f t="shared" ref="AQ217:AQ224" si="336">AP217/AN217</f>
        <v>8.025838421378587E-3</v>
      </c>
      <c r="AR217" s="1021">
        <v>74563</v>
      </c>
      <c r="AS217" s="748">
        <f t="shared" ref="AS217:AS225" si="337">AR217/AR$11</f>
        <v>1.564516612982993E-2</v>
      </c>
      <c r="AT217" s="902">
        <v>90457</v>
      </c>
      <c r="AU217" s="748">
        <f t="shared" ref="AU217:AU225" si="338">AT217/AT$11</f>
        <v>1.6844800536310354E-2</v>
      </c>
      <c r="AV217" s="450">
        <f t="shared" ref="AV217:AV224" si="339">AD217-AR217</f>
        <v>4672</v>
      </c>
      <c r="AW217" s="452">
        <f t="shared" ref="AW217:AW225" si="340">AV217/AR217</f>
        <v>6.2658423078470554E-2</v>
      </c>
    </row>
    <row r="218" spans="1:50" ht="18" hidden="1" customHeight="1" x14ac:dyDescent="0.25">
      <c r="A218" s="104">
        <v>2</v>
      </c>
      <c r="B218" s="107" t="s">
        <v>9</v>
      </c>
      <c r="C218" s="78" t="s">
        <v>360</v>
      </c>
      <c r="D218" s="56"/>
      <c r="E218" s="57"/>
      <c r="F218" s="167"/>
      <c r="G218" s="166"/>
      <c r="H218" s="126"/>
      <c r="I218" s="57"/>
      <c r="J218" s="167"/>
      <c r="K218" s="166"/>
      <c r="L218" s="306"/>
      <c r="M218" s="214"/>
      <c r="N218" s="508"/>
      <c r="O218" s="509"/>
      <c r="P218" s="655"/>
      <c r="Q218" s="356"/>
      <c r="R218" s="508"/>
      <c r="S218" s="509"/>
      <c r="T218" s="355">
        <v>5408</v>
      </c>
      <c r="U218" s="368">
        <f t="shared" si="322"/>
        <v>1.1124788530277197E-3</v>
      </c>
      <c r="V218" s="655">
        <v>5521</v>
      </c>
      <c r="W218" s="871">
        <f t="shared" si="323"/>
        <v>1.0247360251415764E-3</v>
      </c>
      <c r="X218" s="656">
        <v>6339</v>
      </c>
      <c r="Y218" s="860">
        <f t="shared" si="324"/>
        <v>1.1775825728925285E-3</v>
      </c>
      <c r="Z218" s="1084">
        <v>6000</v>
      </c>
      <c r="AA218" s="1050">
        <f t="shared" si="325"/>
        <v>1.2182741116751269E-3</v>
      </c>
      <c r="AB218" s="1144">
        <f t="shared" si="326"/>
        <v>190</v>
      </c>
      <c r="AC218" s="1136"/>
      <c r="AD218" s="557">
        <v>5814</v>
      </c>
      <c r="AE218" s="748">
        <f t="shared" si="327"/>
        <v>1.2771058242747196E-3</v>
      </c>
      <c r="AF218" s="978">
        <v>5810</v>
      </c>
      <c r="AG218" s="782">
        <f t="shared" si="329"/>
        <v>1.2207523700665636E-3</v>
      </c>
      <c r="AH218" s="1001">
        <f t="shared" si="330"/>
        <v>4</v>
      </c>
      <c r="AI218" s="451">
        <f t="shared" si="331"/>
        <v>6.8846815834767647E-4</v>
      </c>
      <c r="AJ218" s="1084">
        <v>5810</v>
      </c>
      <c r="AK218" s="1050">
        <f t="shared" si="332"/>
        <v>1.0859813084112149E-3</v>
      </c>
      <c r="AL218" s="840">
        <v>6500</v>
      </c>
      <c r="AM218" s="586">
        <f t="shared" si="333"/>
        <v>1.1607142857142858E-3</v>
      </c>
      <c r="AN218" s="978">
        <v>6500</v>
      </c>
      <c r="AO218" s="782">
        <f t="shared" si="334"/>
        <v>1.1607142857142858E-3</v>
      </c>
      <c r="AP218" s="450">
        <f>$AD218-(AL218*$AX$4)</f>
        <v>-686</v>
      </c>
      <c r="AQ218" s="451">
        <f t="shared" si="336"/>
        <v>-0.10553846153846154</v>
      </c>
      <c r="AR218" s="1021">
        <v>5803</v>
      </c>
      <c r="AS218" s="748">
        <f t="shared" si="337"/>
        <v>1.2176132807344539E-3</v>
      </c>
      <c r="AT218" s="902">
        <v>5803</v>
      </c>
      <c r="AU218" s="748">
        <f t="shared" si="338"/>
        <v>1.0806281162564421E-3</v>
      </c>
      <c r="AV218" s="450">
        <f t="shared" si="339"/>
        <v>11</v>
      </c>
      <c r="AW218" s="452">
        <f t="shared" si="340"/>
        <v>1.895571256246769E-3</v>
      </c>
      <c r="AX218" s="266" t="s">
        <v>330</v>
      </c>
    </row>
    <row r="219" spans="1:50" ht="18" hidden="1" customHeight="1" x14ac:dyDescent="0.25">
      <c r="A219" s="104">
        <v>3</v>
      </c>
      <c r="B219" s="107" t="s">
        <v>8</v>
      </c>
      <c r="C219" s="78" t="s">
        <v>204</v>
      </c>
      <c r="D219" s="56"/>
      <c r="E219" s="57"/>
      <c r="F219" s="167"/>
      <c r="G219" s="166"/>
      <c r="H219" s="126"/>
      <c r="I219" s="57"/>
      <c r="J219" s="167"/>
      <c r="K219" s="166"/>
      <c r="L219" s="306"/>
      <c r="M219" s="214"/>
      <c r="N219" s="508"/>
      <c r="O219" s="509"/>
      <c r="P219" s="655"/>
      <c r="Q219" s="356"/>
      <c r="R219" s="508"/>
      <c r="S219" s="509"/>
      <c r="T219" s="355">
        <v>585</v>
      </c>
      <c r="U219" s="368">
        <f t="shared" si="322"/>
        <v>1.2034026054386393E-4</v>
      </c>
      <c r="V219" s="655">
        <v>338</v>
      </c>
      <c r="W219" s="871">
        <f t="shared" si="323"/>
        <v>6.2735152417651296E-5</v>
      </c>
      <c r="X219" s="655">
        <v>386</v>
      </c>
      <c r="Y219" s="860">
        <f t="shared" si="324"/>
        <v>7.1706400557898083E-5</v>
      </c>
      <c r="Z219" s="1084">
        <v>350</v>
      </c>
      <c r="AA219" s="1050">
        <f t="shared" si="325"/>
        <v>7.1065989847715741E-5</v>
      </c>
      <c r="AB219" s="1144">
        <f t="shared" si="326"/>
        <v>-50</v>
      </c>
      <c r="AC219" s="1136"/>
      <c r="AD219" s="557">
        <v>106</v>
      </c>
      <c r="AE219" s="748">
        <f t="shared" si="327"/>
        <v>2.3284007116119759E-5</v>
      </c>
      <c r="AF219" s="978">
        <f t="shared" si="328"/>
        <v>332</v>
      </c>
      <c r="AG219" s="782">
        <f t="shared" si="329"/>
        <v>6.9757278289517925E-5</v>
      </c>
      <c r="AH219" s="1001">
        <f t="shared" si="330"/>
        <v>-226</v>
      </c>
      <c r="AI219" s="451">
        <f t="shared" si="331"/>
        <v>-0.68072289156626509</v>
      </c>
      <c r="AJ219" s="1084">
        <v>400</v>
      </c>
      <c r="AK219" s="1050">
        <f t="shared" si="332"/>
        <v>7.4766355140186921E-5</v>
      </c>
      <c r="AL219" s="840">
        <v>400</v>
      </c>
      <c r="AM219" s="586">
        <f t="shared" si="333"/>
        <v>7.1428571428571434E-5</v>
      </c>
      <c r="AN219" s="978">
        <v>400</v>
      </c>
      <c r="AO219" s="782">
        <f t="shared" si="334"/>
        <v>7.1428571428571434E-5</v>
      </c>
      <c r="AP219" s="450">
        <f t="shared" si="335"/>
        <v>-227.33333333333337</v>
      </c>
      <c r="AQ219" s="451">
        <f t="shared" si="336"/>
        <v>-0.56833333333333347</v>
      </c>
      <c r="AR219" s="1021">
        <v>322</v>
      </c>
      <c r="AS219" s="748">
        <f t="shared" si="337"/>
        <v>6.7563583731947982E-5</v>
      </c>
      <c r="AT219" s="902">
        <v>474</v>
      </c>
      <c r="AU219" s="748">
        <f t="shared" si="338"/>
        <v>8.8267745494667151E-5</v>
      </c>
      <c r="AV219" s="450">
        <f t="shared" si="339"/>
        <v>-216</v>
      </c>
      <c r="AW219" s="452">
        <f t="shared" si="340"/>
        <v>-0.67080745341614911</v>
      </c>
    </row>
    <row r="220" spans="1:50" ht="18" hidden="1" customHeight="1" x14ac:dyDescent="0.25">
      <c r="A220" s="104">
        <v>4</v>
      </c>
      <c r="B220" s="107" t="s">
        <v>134</v>
      </c>
      <c r="C220" s="78" t="s">
        <v>193</v>
      </c>
      <c r="D220" s="56"/>
      <c r="E220" s="57"/>
      <c r="F220" s="167"/>
      <c r="G220" s="166"/>
      <c r="H220" s="126"/>
      <c r="I220" s="57"/>
      <c r="J220" s="167"/>
      <c r="K220" s="166"/>
      <c r="L220" s="306"/>
      <c r="M220" s="214"/>
      <c r="N220" s="508"/>
      <c r="O220" s="509"/>
      <c r="P220" s="655"/>
      <c r="Q220" s="356"/>
      <c r="R220" s="508"/>
      <c r="S220" s="509"/>
      <c r="T220" s="355">
        <v>1237</v>
      </c>
      <c r="U220" s="368">
        <f t="shared" si="322"/>
        <v>2.5446308084232423E-4</v>
      </c>
      <c r="V220" s="655"/>
      <c r="W220" s="871">
        <f t="shared" si="323"/>
        <v>0</v>
      </c>
      <c r="X220" s="655">
        <v>0</v>
      </c>
      <c r="Y220" s="860">
        <f t="shared" si="324"/>
        <v>0</v>
      </c>
      <c r="Z220" s="1084">
        <v>350</v>
      </c>
      <c r="AA220" s="1050">
        <f t="shared" si="325"/>
        <v>7.1065989847715741E-5</v>
      </c>
      <c r="AB220" s="1144">
        <f t="shared" si="326"/>
        <v>50</v>
      </c>
      <c r="AC220" s="1136"/>
      <c r="AD220" s="557">
        <v>322</v>
      </c>
      <c r="AE220" s="748">
        <f t="shared" si="327"/>
        <v>7.0730663126326062E-5</v>
      </c>
      <c r="AF220" s="978">
        <f t="shared" si="328"/>
        <v>249</v>
      </c>
      <c r="AG220" s="782">
        <f t="shared" si="329"/>
        <v>5.231795871713844E-5</v>
      </c>
      <c r="AH220" s="1001">
        <f t="shared" si="330"/>
        <v>73</v>
      </c>
      <c r="AI220" s="451">
        <f t="shared" si="331"/>
        <v>0.29317269076305219</v>
      </c>
      <c r="AJ220" s="1084">
        <v>300</v>
      </c>
      <c r="AK220" s="1050">
        <f t="shared" si="332"/>
        <v>5.6074766355140187E-5</v>
      </c>
      <c r="AL220" s="840">
        <v>500</v>
      </c>
      <c r="AM220" s="586">
        <f t="shared" si="333"/>
        <v>8.9285714285714286E-5</v>
      </c>
      <c r="AN220" s="978">
        <v>500</v>
      </c>
      <c r="AO220" s="782">
        <f t="shared" si="334"/>
        <v>8.9285714285714286E-5</v>
      </c>
      <c r="AP220" s="450">
        <f t="shared" si="335"/>
        <v>-94.666666666666629</v>
      </c>
      <c r="AQ220" s="451">
        <f t="shared" si="336"/>
        <v>-0.18933333333333327</v>
      </c>
      <c r="AR220" s="1022">
        <v>301</v>
      </c>
      <c r="AS220" s="748">
        <f t="shared" si="337"/>
        <v>6.3157263053777469E-5</v>
      </c>
      <c r="AT220" s="902">
        <v>302</v>
      </c>
      <c r="AU220" s="748">
        <f t="shared" si="338"/>
        <v>5.6238099450188779E-5</v>
      </c>
      <c r="AV220" s="450">
        <f t="shared" si="339"/>
        <v>21</v>
      </c>
      <c r="AW220" s="452">
        <f t="shared" si="340"/>
        <v>6.9767441860465115E-2</v>
      </c>
    </row>
    <row r="221" spans="1:50" ht="18" hidden="1" customHeight="1" x14ac:dyDescent="0.25">
      <c r="A221" s="104">
        <v>5</v>
      </c>
      <c r="B221" s="107"/>
      <c r="C221" s="78" t="s">
        <v>361</v>
      </c>
      <c r="D221" s="56">
        <v>4358</v>
      </c>
      <c r="E221" s="57"/>
      <c r="F221" s="167">
        <v>2370</v>
      </c>
      <c r="G221" s="166"/>
      <c r="H221" s="126">
        <v>4154</v>
      </c>
      <c r="I221" s="57"/>
      <c r="J221" s="167">
        <v>4349</v>
      </c>
      <c r="K221" s="166"/>
      <c r="L221" s="306">
        <v>2153</v>
      </c>
      <c r="M221" s="214"/>
      <c r="N221" s="508">
        <v>6966</v>
      </c>
      <c r="O221" s="509"/>
      <c r="P221" s="655">
        <v>6890</v>
      </c>
      <c r="Q221" s="356"/>
      <c r="R221" s="508">
        <v>10878</v>
      </c>
      <c r="S221" s="509"/>
      <c r="T221" s="355">
        <f>114+969</f>
        <v>1083</v>
      </c>
      <c r="U221" s="368">
        <f t="shared" si="322"/>
        <v>2.2278376439146091E-4</v>
      </c>
      <c r="V221" s="655"/>
      <c r="W221" s="871">
        <f t="shared" si="323"/>
        <v>0</v>
      </c>
      <c r="X221" s="655">
        <v>82</v>
      </c>
      <c r="Y221" s="860">
        <f t="shared" si="324"/>
        <v>1.5232965921626018E-5</v>
      </c>
      <c r="Z221" s="1084">
        <v>300</v>
      </c>
      <c r="AA221" s="1050">
        <f t="shared" si="325"/>
        <v>6.0913705583756343E-5</v>
      </c>
      <c r="AB221" s="1144">
        <f t="shared" si="326"/>
        <v>0</v>
      </c>
      <c r="AC221" s="1136"/>
      <c r="AD221" s="557">
        <f>133+116</f>
        <v>249</v>
      </c>
      <c r="AE221" s="748">
        <f t="shared" si="327"/>
        <v>5.4695450678432267E-5</v>
      </c>
      <c r="AF221" s="978">
        <f t="shared" si="328"/>
        <v>249</v>
      </c>
      <c r="AG221" s="782">
        <f t="shared" si="329"/>
        <v>5.231795871713844E-5</v>
      </c>
      <c r="AH221" s="1001">
        <f t="shared" si="330"/>
        <v>0</v>
      </c>
      <c r="AI221" s="451">
        <f t="shared" si="331"/>
        <v>0</v>
      </c>
      <c r="AJ221" s="1084">
        <v>300</v>
      </c>
      <c r="AK221" s="1050">
        <f t="shared" si="332"/>
        <v>5.6074766355140187E-5</v>
      </c>
      <c r="AL221" s="840">
        <v>300</v>
      </c>
      <c r="AM221" s="586">
        <f t="shared" si="333"/>
        <v>5.3571428571428569E-5</v>
      </c>
      <c r="AN221" s="978">
        <v>300</v>
      </c>
      <c r="AO221" s="782">
        <f t="shared" si="334"/>
        <v>5.3571428571428569E-5</v>
      </c>
      <c r="AP221" s="450">
        <f t="shared" si="335"/>
        <v>-1</v>
      </c>
      <c r="AQ221" s="451">
        <f t="shared" si="336"/>
        <v>-3.3333333333333335E-3</v>
      </c>
      <c r="AR221" s="1022">
        <v>225</v>
      </c>
      <c r="AS221" s="748">
        <f t="shared" si="337"/>
        <v>4.7210578694684149E-5</v>
      </c>
      <c r="AT221" s="902">
        <f>162+147</f>
        <v>309</v>
      </c>
      <c r="AU221" s="748">
        <f t="shared" si="338"/>
        <v>5.7541631556650107E-5</v>
      </c>
      <c r="AV221" s="450">
        <f t="shared" si="339"/>
        <v>24</v>
      </c>
      <c r="AW221" s="452">
        <f t="shared" si="340"/>
        <v>0.10666666666666667</v>
      </c>
      <c r="AX221" s="266"/>
    </row>
    <row r="222" spans="1:50" ht="18" hidden="1" customHeight="1" x14ac:dyDescent="0.25">
      <c r="A222" s="104">
        <v>6</v>
      </c>
      <c r="B222" s="107" t="s">
        <v>135</v>
      </c>
      <c r="C222" s="78" t="s">
        <v>195</v>
      </c>
      <c r="D222" s="56"/>
      <c r="E222" s="57"/>
      <c r="F222" s="167"/>
      <c r="G222" s="166"/>
      <c r="H222" s="126"/>
      <c r="I222" s="57"/>
      <c r="J222" s="167"/>
      <c r="K222" s="166"/>
      <c r="L222" s="306"/>
      <c r="M222" s="214"/>
      <c r="N222" s="508"/>
      <c r="O222" s="509"/>
      <c r="P222" s="655"/>
      <c r="Q222" s="356"/>
      <c r="R222" s="508"/>
      <c r="S222" s="509"/>
      <c r="T222" s="355">
        <v>7194</v>
      </c>
      <c r="U222" s="368">
        <f t="shared" si="322"/>
        <v>1.479876639918901E-3</v>
      </c>
      <c r="V222" s="655">
        <v>6890</v>
      </c>
      <c r="W222" s="871">
        <f t="shared" si="323"/>
        <v>1.2788319531290455E-3</v>
      </c>
      <c r="X222" s="890">
        <v>9313</v>
      </c>
      <c r="Y222" s="860">
        <f t="shared" si="324"/>
        <v>1.7300562393671112E-3</v>
      </c>
      <c r="Z222" s="1084">
        <v>8755</v>
      </c>
      <c r="AA222" s="1050">
        <f t="shared" si="325"/>
        <v>1.7776649746192893E-3</v>
      </c>
      <c r="AB222" s="1144">
        <f t="shared" si="326"/>
        <v>-4160</v>
      </c>
      <c r="AC222" s="1136"/>
      <c r="AD222" s="557">
        <v>10761</v>
      </c>
      <c r="AE222" s="748">
        <f t="shared" si="327"/>
        <v>2.363766043175139E-3</v>
      </c>
      <c r="AF222" s="978">
        <f t="shared" si="328"/>
        <v>10719.449999999999</v>
      </c>
      <c r="AG222" s="782">
        <f t="shared" si="329"/>
        <v>2.2522881227728096E-3</v>
      </c>
      <c r="AH222" s="1001">
        <f t="shared" si="330"/>
        <v>41.550000000001091</v>
      </c>
      <c r="AI222" s="451">
        <f t="shared" si="331"/>
        <v>3.8761317045185244E-3</v>
      </c>
      <c r="AJ222" s="1084">
        <v>12915</v>
      </c>
      <c r="AK222" s="1050">
        <f t="shared" si="332"/>
        <v>2.4140186915887849E-3</v>
      </c>
      <c r="AL222" s="840">
        <v>13050</v>
      </c>
      <c r="AM222" s="586">
        <f t="shared" si="333"/>
        <v>2.3303571428571427E-3</v>
      </c>
      <c r="AN222" s="978">
        <v>13050</v>
      </c>
      <c r="AO222" s="782">
        <f t="shared" si="334"/>
        <v>2.3303571428571427E-3</v>
      </c>
      <c r="AP222" s="450">
        <f t="shared" ref="AP222:AP224" si="341">$AD222-(AL222/12*$AX$1)</f>
        <v>-114</v>
      </c>
      <c r="AQ222" s="451">
        <f t="shared" si="336"/>
        <v>-8.7356321839080452E-3</v>
      </c>
      <c r="AR222" s="1022">
        <v>9664</v>
      </c>
      <c r="AS222" s="748">
        <f t="shared" si="337"/>
        <v>2.027746811135234E-3</v>
      </c>
      <c r="AT222" s="902">
        <v>11611</v>
      </c>
      <c r="AU222" s="748">
        <f t="shared" si="338"/>
        <v>2.1621873268746422E-3</v>
      </c>
      <c r="AV222" s="450">
        <f t="shared" si="339"/>
        <v>1097</v>
      </c>
      <c r="AW222" s="452">
        <f t="shared" si="340"/>
        <v>0.11351407284768211</v>
      </c>
    </row>
    <row r="223" spans="1:50" ht="18" hidden="1" customHeight="1" x14ac:dyDescent="0.25">
      <c r="A223" s="104">
        <v>7</v>
      </c>
      <c r="B223" s="107" t="s">
        <v>136</v>
      </c>
      <c r="C223" s="78" t="s">
        <v>5</v>
      </c>
      <c r="D223" s="56"/>
      <c r="E223" s="57"/>
      <c r="F223" s="167"/>
      <c r="G223" s="166"/>
      <c r="H223" s="126"/>
      <c r="I223" s="57"/>
      <c r="J223" s="167"/>
      <c r="K223" s="166"/>
      <c r="L223" s="306"/>
      <c r="M223" s="214"/>
      <c r="N223" s="508"/>
      <c r="O223" s="509"/>
      <c r="P223" s="655"/>
      <c r="Q223" s="356"/>
      <c r="R223" s="508"/>
      <c r="S223" s="509"/>
      <c r="T223" s="355">
        <v>6761</v>
      </c>
      <c r="U223" s="368">
        <f t="shared" si="322"/>
        <v>1.3908042761317332E-3</v>
      </c>
      <c r="V223" s="655">
        <v>6172</v>
      </c>
      <c r="W223" s="871">
        <f t="shared" si="323"/>
        <v>1.1455661559814905E-3</v>
      </c>
      <c r="X223" s="890">
        <v>6778</v>
      </c>
      <c r="Y223" s="860">
        <f t="shared" si="324"/>
        <v>1.2591346709363556E-3</v>
      </c>
      <c r="Z223" s="1084">
        <v>5530</v>
      </c>
      <c r="AA223" s="1050">
        <f t="shared" si="325"/>
        <v>1.1228426395939086E-3</v>
      </c>
      <c r="AB223" s="1144">
        <f t="shared" si="326"/>
        <v>-1760</v>
      </c>
      <c r="AC223" s="1136"/>
      <c r="AD223" s="557">
        <v>5300</v>
      </c>
      <c r="AE223" s="748">
        <f t="shared" si="327"/>
        <v>1.164200355805988E-3</v>
      </c>
      <c r="AF223" s="978">
        <f t="shared" si="328"/>
        <v>6050.7</v>
      </c>
      <c r="AG223" s="782">
        <f t="shared" si="329"/>
        <v>1.271326396826464E-3</v>
      </c>
      <c r="AH223" s="1001">
        <f t="shared" si="330"/>
        <v>-750.69999999999982</v>
      </c>
      <c r="AI223" s="451">
        <f t="shared" si="331"/>
        <v>-0.12406828961938285</v>
      </c>
      <c r="AJ223" s="1084">
        <v>7290</v>
      </c>
      <c r="AK223" s="1050">
        <f t="shared" si="332"/>
        <v>1.3626168224299066E-3</v>
      </c>
      <c r="AL223" s="840">
        <v>7205</v>
      </c>
      <c r="AM223" s="586">
        <f t="shared" si="333"/>
        <v>1.2866071428571429E-3</v>
      </c>
      <c r="AN223" s="978">
        <v>7205</v>
      </c>
      <c r="AO223" s="782">
        <f t="shared" si="334"/>
        <v>1.2866071428571429E-3</v>
      </c>
      <c r="AP223" s="450">
        <f t="shared" si="341"/>
        <v>-704.16666666666606</v>
      </c>
      <c r="AQ223" s="451">
        <f t="shared" si="336"/>
        <v>-9.7733055748322833E-2</v>
      </c>
      <c r="AR223" s="1022">
        <v>5385</v>
      </c>
      <c r="AS223" s="748">
        <f t="shared" si="337"/>
        <v>1.1299065167594408E-3</v>
      </c>
      <c r="AT223" s="902">
        <v>6495</v>
      </c>
      <c r="AU223" s="748">
        <f t="shared" si="338"/>
        <v>1.2094915759237621E-3</v>
      </c>
      <c r="AV223" s="450">
        <f t="shared" si="339"/>
        <v>-85</v>
      </c>
      <c r="AW223" s="452">
        <f t="shared" si="340"/>
        <v>-1.5784586815227482E-2</v>
      </c>
    </row>
    <row r="224" spans="1:50" ht="18" hidden="1" customHeight="1" x14ac:dyDescent="0.25">
      <c r="A224" s="104">
        <v>8</v>
      </c>
      <c r="B224" s="107" t="s">
        <v>137</v>
      </c>
      <c r="C224" s="79" t="s">
        <v>196</v>
      </c>
      <c r="D224" s="58"/>
      <c r="E224" s="59"/>
      <c r="F224" s="168"/>
      <c r="G224" s="169"/>
      <c r="H224" s="127"/>
      <c r="I224" s="59"/>
      <c r="J224" s="168"/>
      <c r="K224" s="169"/>
      <c r="L224" s="308"/>
      <c r="M224" s="215"/>
      <c r="N224" s="511"/>
      <c r="O224" s="512"/>
      <c r="P224" s="657"/>
      <c r="Q224" s="359"/>
      <c r="R224" s="511"/>
      <c r="S224" s="512"/>
      <c r="T224" s="358">
        <v>8313</v>
      </c>
      <c r="U224" s="368">
        <f t="shared" si="322"/>
        <v>1.7100659588053688E-3</v>
      </c>
      <c r="V224" s="657">
        <v>8920</v>
      </c>
      <c r="W224" s="871">
        <f t="shared" si="323"/>
        <v>1.6556140815545844E-3</v>
      </c>
      <c r="X224" s="890">
        <v>9859</v>
      </c>
      <c r="Y224" s="861">
        <f t="shared" si="324"/>
        <v>1.8314855002598892E-3</v>
      </c>
      <c r="Z224" s="1085">
        <v>5315</v>
      </c>
      <c r="AA224" s="1053">
        <f t="shared" si="325"/>
        <v>1.0791878172588833E-3</v>
      </c>
      <c r="AB224" s="1144">
        <f t="shared" si="326"/>
        <v>-5070</v>
      </c>
      <c r="AC224" s="495"/>
      <c r="AD224" s="557">
        <v>8653</v>
      </c>
      <c r="AE224" s="749">
        <f t="shared" si="327"/>
        <v>1.9007218261866442E-3</v>
      </c>
      <c r="AF224" s="978">
        <f t="shared" si="328"/>
        <v>8619.5499999999993</v>
      </c>
      <c r="AG224" s="785">
        <f t="shared" si="329"/>
        <v>1.8110733375916088E-3</v>
      </c>
      <c r="AH224" s="1001">
        <f t="shared" si="330"/>
        <v>33.450000000000728</v>
      </c>
      <c r="AI224" s="451">
        <f t="shared" si="331"/>
        <v>3.8807130302626856E-3</v>
      </c>
      <c r="AJ224" s="1085">
        <v>10385</v>
      </c>
      <c r="AK224" s="1053">
        <f t="shared" si="332"/>
        <v>1.9411214953271028E-3</v>
      </c>
      <c r="AL224" s="841">
        <v>10385</v>
      </c>
      <c r="AM224" s="589">
        <f t="shared" si="333"/>
        <v>1.8544642857142857E-3</v>
      </c>
      <c r="AN224" s="979">
        <v>10385</v>
      </c>
      <c r="AO224" s="785">
        <f t="shared" si="334"/>
        <v>1.8544642857142857E-3</v>
      </c>
      <c r="AP224" s="450">
        <f t="shared" si="341"/>
        <v>-1.1666666666660603</v>
      </c>
      <c r="AQ224" s="451">
        <f t="shared" si="336"/>
        <v>-1.1234151821531635E-4</v>
      </c>
      <c r="AR224" s="1022">
        <v>8219</v>
      </c>
      <c r="AS224" s="749">
        <f t="shared" si="337"/>
        <v>1.7245499835182624E-3</v>
      </c>
      <c r="AT224" s="902">
        <v>9906</v>
      </c>
      <c r="AU224" s="749">
        <f t="shared" si="338"/>
        <v>1.8446841495151326E-3</v>
      </c>
      <c r="AV224" s="450">
        <f t="shared" si="339"/>
        <v>434</v>
      </c>
      <c r="AW224" s="482">
        <f t="shared" si="340"/>
        <v>5.2804477430344325E-2</v>
      </c>
    </row>
    <row r="225" spans="1:50" ht="17.25" hidden="1" customHeight="1" thickBot="1" x14ac:dyDescent="0.3">
      <c r="A225" s="100"/>
      <c r="B225" s="101"/>
      <c r="C225" s="85" t="s">
        <v>197</v>
      </c>
      <c r="D225" s="39">
        <f>SUM(D217:D224)</f>
        <v>4358</v>
      </c>
      <c r="E225" s="41"/>
      <c r="F225" s="533">
        <f>SUM(F217:F224)</f>
        <v>2370</v>
      </c>
      <c r="G225" s="183"/>
      <c r="H225" s="39">
        <f>SUM(H217:H224)</f>
        <v>4154</v>
      </c>
      <c r="I225" s="41"/>
      <c r="J225" s="533">
        <f>SUM(J217:J224)</f>
        <v>4349</v>
      </c>
      <c r="K225" s="183"/>
      <c r="L225" s="39">
        <f>SUM(L217:L224)</f>
        <v>2153</v>
      </c>
      <c r="M225" s="223"/>
      <c r="N225" s="533">
        <f>SUM(N217:N224)</f>
        <v>6966</v>
      </c>
      <c r="O225" s="534"/>
      <c r="P225" s="675">
        <f>SUM(P217:P224)</f>
        <v>6890</v>
      </c>
      <c r="Q225" s="381"/>
      <c r="R225" s="533">
        <f>SUM(R217:R224)</f>
        <v>10878</v>
      </c>
      <c r="S225" s="534"/>
      <c r="T225" s="380">
        <f>SUM(T217:T224)</f>
        <v>118961</v>
      </c>
      <c r="U225" s="381">
        <f t="shared" si="322"/>
        <v>2.4471449118903584E-2</v>
      </c>
      <c r="V225" s="675">
        <f>SUM(V217:V224)</f>
        <v>108522</v>
      </c>
      <c r="W225" s="872">
        <f t="shared" si="323"/>
        <v>2.0142438493101638E-2</v>
      </c>
      <c r="X225" s="675">
        <f>SUM(X217:X224)</f>
        <v>121363</v>
      </c>
      <c r="Y225" s="872">
        <f t="shared" si="324"/>
        <v>2.2545346867637785E-2</v>
      </c>
      <c r="Z225" s="1081">
        <f>SUM(Z217:Z224)</f>
        <v>98900</v>
      </c>
      <c r="AA225" s="1082">
        <f t="shared" si="325"/>
        <v>2.0081218274111676E-2</v>
      </c>
      <c r="AB225" s="1155">
        <f>SUM(AB217:AB224)</f>
        <v>-33750</v>
      </c>
      <c r="AC225" s="1137"/>
      <c r="AD225" s="558">
        <f>SUM(AD217:AD224)</f>
        <v>110440</v>
      </c>
      <c r="AE225" s="760">
        <f t="shared" si="327"/>
        <v>2.4259299489662888E-2</v>
      </c>
      <c r="AF225" s="1176">
        <f>SUM(AF217:AF224)</f>
        <v>111087.2</v>
      </c>
      <c r="AG225" s="808">
        <f t="shared" si="329"/>
        <v>2.3340785315672696E-2</v>
      </c>
      <c r="AH225" s="474">
        <f>SUM(AH217:AH224)</f>
        <v>-647.199999999998</v>
      </c>
      <c r="AI225" s="468">
        <f>AH225/AF225</f>
        <v>-5.8260537667705909E-3</v>
      </c>
      <c r="AJ225" s="1081">
        <f>SUM(AJ217:AJ224)</f>
        <v>132650</v>
      </c>
      <c r="AK225" s="1082">
        <f t="shared" si="332"/>
        <v>2.4794392523364486E-2</v>
      </c>
      <c r="AL225" s="613">
        <f>SUM(AL217:AL224)</f>
        <v>132515</v>
      </c>
      <c r="AM225" s="614">
        <f t="shared" si="333"/>
        <v>2.3663392857142859E-2</v>
      </c>
      <c r="AN225" s="807">
        <f>SUM(AN217:AN224)</f>
        <v>132515</v>
      </c>
      <c r="AO225" s="808">
        <f t="shared" si="334"/>
        <v>2.3663392857142859E-2</v>
      </c>
      <c r="AP225" s="474">
        <f>SUM(AP217:AP224)</f>
        <v>-1072.5000000000036</v>
      </c>
      <c r="AQ225" s="468">
        <f>AP225/AN225</f>
        <v>-8.0934233860317974E-3</v>
      </c>
      <c r="AR225" s="739">
        <f>SUM(AR217:AR224)</f>
        <v>104482</v>
      </c>
      <c r="AS225" s="760">
        <f t="shared" si="337"/>
        <v>2.1922914147457732E-2</v>
      </c>
      <c r="AT225" s="903">
        <f>SUM(AT217:AT224)</f>
        <v>125357</v>
      </c>
      <c r="AU225" s="255">
        <f t="shared" si="338"/>
        <v>2.3343839181381838E-2</v>
      </c>
      <c r="AV225" s="474">
        <f>SUM(AV217:AV224)</f>
        <v>5958</v>
      </c>
      <c r="AW225" s="469">
        <f t="shared" si="340"/>
        <v>5.7024176413162077E-2</v>
      </c>
    </row>
    <row r="226" spans="1:50" ht="17.25" hidden="1" customHeight="1" thickTop="1" x14ac:dyDescent="0.25">
      <c r="A226" s="100"/>
      <c r="B226" s="101"/>
      <c r="C226" s="76"/>
      <c r="D226" s="29"/>
      <c r="E226" s="32"/>
      <c r="F226" s="161"/>
      <c r="G226" s="171"/>
      <c r="H226" s="123"/>
      <c r="I226" s="32"/>
      <c r="J226" s="161"/>
      <c r="K226" s="171"/>
      <c r="L226" s="305"/>
      <c r="M226" s="217"/>
      <c r="N226" s="506"/>
      <c r="O226" s="514"/>
      <c r="P226" s="654"/>
      <c r="Q226" s="361"/>
      <c r="R226" s="506"/>
      <c r="S226" s="514"/>
      <c r="T226" s="353"/>
      <c r="U226" s="361"/>
      <c r="V226" s="698"/>
      <c r="W226" s="495"/>
      <c r="X226" s="889"/>
      <c r="Y226" s="495"/>
      <c r="Z226" s="1102"/>
      <c r="AA226" s="1103"/>
      <c r="AB226" s="1151"/>
      <c r="AC226" s="495"/>
      <c r="AD226" s="697"/>
      <c r="AE226" s="699"/>
      <c r="AF226" s="990"/>
      <c r="AG226" s="991"/>
      <c r="AH226" s="700"/>
      <c r="AI226" s="494"/>
      <c r="AJ226" s="1102"/>
      <c r="AK226" s="1103"/>
      <c r="AL226" s="716"/>
      <c r="AM226" s="766"/>
      <c r="AN226" s="990"/>
      <c r="AO226" s="991"/>
      <c r="AP226" s="700"/>
      <c r="AQ226" s="494"/>
      <c r="AR226" s="697"/>
      <c r="AS226" s="699"/>
      <c r="AT226" s="900"/>
      <c r="AU226" s="699"/>
      <c r="AV226" s="700"/>
      <c r="AW226" s="494"/>
    </row>
    <row r="227" spans="1:50" ht="18" hidden="1" customHeight="1" x14ac:dyDescent="0.25">
      <c r="A227" s="100"/>
      <c r="B227" s="101"/>
      <c r="C227" s="76" t="s">
        <v>236</v>
      </c>
      <c r="D227" s="25"/>
      <c r="E227" s="42"/>
      <c r="F227" s="154"/>
      <c r="G227" s="188"/>
      <c r="H227" s="123"/>
      <c r="I227" s="42"/>
      <c r="J227" s="161"/>
      <c r="K227" s="188"/>
      <c r="L227" s="305"/>
      <c r="M227" s="226"/>
      <c r="N227" s="506"/>
      <c r="O227" s="540"/>
      <c r="P227" s="654"/>
      <c r="Q227" s="387"/>
      <c r="R227" s="506"/>
      <c r="S227" s="540"/>
      <c r="T227" s="353"/>
      <c r="U227" s="387"/>
      <c r="V227" s="672"/>
      <c r="W227" s="673"/>
      <c r="X227" s="889"/>
      <c r="Y227" s="673"/>
      <c r="Z227" s="1075"/>
      <c r="AA227" s="1076"/>
      <c r="AB227" s="1149"/>
      <c r="AC227" s="1130"/>
      <c r="AD227" s="636"/>
      <c r="AE227" s="637"/>
      <c r="AF227" s="976"/>
      <c r="AG227" s="977"/>
      <c r="AH227" s="639"/>
      <c r="AI227" s="493"/>
      <c r="AJ227" s="1075"/>
      <c r="AK227" s="1076"/>
      <c r="AL227" s="720"/>
      <c r="AM227" s="719"/>
      <c r="AN227" s="976"/>
      <c r="AO227" s="977"/>
      <c r="AP227" s="639"/>
      <c r="AQ227" s="493"/>
      <c r="AR227" s="636"/>
      <c r="AS227" s="637"/>
      <c r="AT227" s="904"/>
      <c r="AU227" s="637"/>
      <c r="AV227" s="639"/>
      <c r="AW227" s="493"/>
    </row>
    <row r="228" spans="1:50" ht="18" hidden="1" customHeight="1" x14ac:dyDescent="0.25">
      <c r="A228" s="100"/>
      <c r="B228" s="101"/>
      <c r="C228" s="78" t="s">
        <v>186</v>
      </c>
      <c r="D228" s="109">
        <v>5.6</v>
      </c>
      <c r="E228" s="57"/>
      <c r="F228" s="180">
        <v>5.6</v>
      </c>
      <c r="G228" s="166"/>
      <c r="H228" s="134">
        <v>5.33</v>
      </c>
      <c r="I228" s="57"/>
      <c r="J228" s="180">
        <v>5.33</v>
      </c>
      <c r="K228" s="166"/>
      <c r="L228" s="318">
        <v>5.33</v>
      </c>
      <c r="M228" s="214"/>
      <c r="N228" s="531">
        <v>5.8</v>
      </c>
      <c r="O228" s="509"/>
      <c r="P228" s="674">
        <v>5.8</v>
      </c>
      <c r="Q228" s="356"/>
      <c r="R228" s="531">
        <v>6.8</v>
      </c>
      <c r="S228" s="509"/>
      <c r="T228" s="378">
        <v>6.8</v>
      </c>
      <c r="U228" s="356"/>
      <c r="V228" s="674">
        <v>6.1</v>
      </c>
      <c r="W228" s="860"/>
      <c r="X228" s="674">
        <v>4.3</v>
      </c>
      <c r="Y228" s="860"/>
      <c r="Z228" s="1077">
        <v>6</v>
      </c>
      <c r="AA228" s="1050"/>
      <c r="AB228" s="1157"/>
      <c r="AC228" s="1131"/>
      <c r="AD228" s="433">
        <v>5.5</v>
      </c>
      <c r="AE228" s="748"/>
      <c r="AF228" s="1177">
        <v>5.5</v>
      </c>
      <c r="AG228" s="782"/>
      <c r="AH228" s="475"/>
      <c r="AI228" s="451"/>
      <c r="AJ228" s="1077">
        <v>5.5</v>
      </c>
      <c r="AK228" s="1050"/>
      <c r="AL228" s="611">
        <v>6.5</v>
      </c>
      <c r="AM228" s="586"/>
      <c r="AN228" s="803">
        <v>6.5</v>
      </c>
      <c r="AO228" s="782"/>
      <c r="AP228" s="475"/>
      <c r="AQ228" s="451"/>
      <c r="AR228" s="734">
        <v>4.3</v>
      </c>
      <c r="AS228" s="748"/>
      <c r="AT228" s="901">
        <v>4.3</v>
      </c>
      <c r="AU228" s="245"/>
      <c r="AV228" s="475"/>
      <c r="AW228" s="452"/>
    </row>
    <row r="229" spans="1:50" ht="18" hidden="1" customHeight="1" x14ac:dyDescent="0.25">
      <c r="A229" s="104">
        <v>1</v>
      </c>
      <c r="B229" s="105" t="s">
        <v>138</v>
      </c>
      <c r="C229" s="77" t="s">
        <v>187</v>
      </c>
      <c r="D229" s="54">
        <f>335561-9972+22926</f>
        <v>348515</v>
      </c>
      <c r="E229" s="55">
        <f>D229/D$11</f>
        <v>6.6206828708121349E-2</v>
      </c>
      <c r="F229" s="163">
        <f>340215-4023+21397</f>
        <v>357589</v>
      </c>
      <c r="G229" s="164">
        <f>F229/F$11</f>
        <v>6.9949134695153431E-2</v>
      </c>
      <c r="H229" s="124">
        <f>398177-12728+9540</f>
        <v>394989</v>
      </c>
      <c r="I229" s="55">
        <f t="shared" ref="I229:I254" si="342">H229/H$11</f>
        <v>7.240860267486661E-2</v>
      </c>
      <c r="J229" s="163">
        <f>391245+16837</f>
        <v>408082</v>
      </c>
      <c r="K229" s="164">
        <f t="shared" ref="K229:K254" si="343">J229/J$11</f>
        <v>7.3027347004001916E-2</v>
      </c>
      <c r="L229" s="313">
        <f>399595+18223</f>
        <v>417818</v>
      </c>
      <c r="M229" s="213">
        <f t="shared" ref="M229:M254" si="344">L229/L$11</f>
        <v>8.1425306315899434E-2</v>
      </c>
      <c r="N229" s="520">
        <f>423142+106986+11054</f>
        <v>541182</v>
      </c>
      <c r="O229" s="521">
        <f>N229/N$11</f>
        <v>9.9619493157006606E-2</v>
      </c>
      <c r="P229" s="663">
        <f>457782+2569+2460</f>
        <v>462811</v>
      </c>
      <c r="Q229" s="368">
        <f>P229/P$11</f>
        <v>7.9688011974268336E-2</v>
      </c>
      <c r="R229" s="520">
        <f>492960+2219</f>
        <v>495179</v>
      </c>
      <c r="S229" s="521">
        <f>R229/R$11</f>
        <v>9.3616331827253901E-2</v>
      </c>
      <c r="T229" s="367">
        <f>513406+880-88380</f>
        <v>425906</v>
      </c>
      <c r="U229" s="368">
        <f t="shared" ref="U229:U266" si="345">T229/T$11</f>
        <v>8.7613058131957106E-2</v>
      </c>
      <c r="V229" s="663">
        <f>475374-80681</f>
        <v>394693</v>
      </c>
      <c r="W229" s="871">
        <f>V229/V$11</f>
        <v>7.3257767790473494E-2</v>
      </c>
      <c r="X229" s="890">
        <f>485183-88606</f>
        <v>396577</v>
      </c>
      <c r="Y229" s="871">
        <f>X229/X$11</f>
        <v>7.367126739391075E-2</v>
      </c>
      <c r="Z229" s="1079">
        <f>412985+98420</f>
        <v>511405</v>
      </c>
      <c r="AA229" s="1080">
        <f>Z229/Z$11</f>
        <v>0.10383857868020305</v>
      </c>
      <c r="AB229" s="1144">
        <f t="shared" ref="AB229:AB265" si="346">Z229-AJ229</f>
        <v>26130</v>
      </c>
      <c r="AC229" s="1136"/>
      <c r="AD229" s="557">
        <v>397922</v>
      </c>
      <c r="AE229" s="753">
        <f>AD229/AD$11</f>
        <v>8.7407723393024592E-2</v>
      </c>
      <c r="AF229" s="978">
        <v>398000</v>
      </c>
      <c r="AG229" s="806">
        <f>AF229/AF$11</f>
        <v>8.3624689033819671E-2</v>
      </c>
      <c r="AH229" s="1001">
        <f t="shared" ref="AH229:AH265" si="347">AD229-AF229</f>
        <v>-78</v>
      </c>
      <c r="AI229" s="451">
        <f t="shared" ref="AI229:AI265" si="348">AH229/AF229</f>
        <v>-1.9597989949748744E-4</v>
      </c>
      <c r="AJ229" s="1079">
        <f>402255+83020</f>
        <v>485275</v>
      </c>
      <c r="AK229" s="1080">
        <f>AJ229/AJ$11</f>
        <v>9.0705607476635516E-2</v>
      </c>
      <c r="AL229" s="597">
        <v>493165</v>
      </c>
      <c r="AM229" s="598">
        <f>AL229/AL$11</f>
        <v>8.8065178571428565E-2</v>
      </c>
      <c r="AN229" s="805">
        <v>493165</v>
      </c>
      <c r="AO229" s="806">
        <f>AN229/AN$11</f>
        <v>8.8065178571428565E-2</v>
      </c>
      <c r="AP229" s="1001">
        <f>$AD229-(AL229/12*$AX$1)+9000</f>
        <v>-4048.8333333333721</v>
      </c>
      <c r="AQ229" s="451">
        <f t="shared" ref="AQ229:AQ265" si="349">AP229/AN229</f>
        <v>-8.2098959442242908E-3</v>
      </c>
      <c r="AR229" s="1126">
        <v>344999</v>
      </c>
      <c r="AS229" s="753">
        <f>AR229/AR$11</f>
        <v>7.2389344173721504E-2</v>
      </c>
      <c r="AT229" s="902">
        <v>416079</v>
      </c>
      <c r="AU229" s="250">
        <f>AT229/AT$11</f>
        <v>7.7481762189189063E-2</v>
      </c>
      <c r="AV229" s="450">
        <f t="shared" ref="AV229:AV265" si="350">AD229-AR229</f>
        <v>52923</v>
      </c>
      <c r="AW229" s="452">
        <f t="shared" ref="AW229:AW266" si="351">AV229/AR229</f>
        <v>0.15340044463896996</v>
      </c>
    </row>
    <row r="230" spans="1:50" ht="18" hidden="1" customHeight="1" x14ac:dyDescent="0.25">
      <c r="A230" s="104">
        <v>2</v>
      </c>
      <c r="B230" s="107" t="s">
        <v>290</v>
      </c>
      <c r="C230" s="78" t="s">
        <v>275</v>
      </c>
      <c r="D230" s="56">
        <v>9972</v>
      </c>
      <c r="E230" s="57">
        <f t="shared" ref="E230:E254" si="352">D230/D$11</f>
        <v>1.8943646496632457E-3</v>
      </c>
      <c r="F230" s="167">
        <v>4023</v>
      </c>
      <c r="G230" s="166">
        <f t="shared" ref="G230:G254" si="353">F230/F$11</f>
        <v>7.8695197245609409E-4</v>
      </c>
      <c r="H230" s="126">
        <v>12728</v>
      </c>
      <c r="I230" s="57">
        <f t="shared" si="342"/>
        <v>2.3332717995835383E-3</v>
      </c>
      <c r="J230" s="167">
        <v>25791</v>
      </c>
      <c r="K230" s="166">
        <f t="shared" si="343"/>
        <v>4.6153672707451281E-3</v>
      </c>
      <c r="L230" s="306">
        <v>12466</v>
      </c>
      <c r="M230" s="214">
        <f t="shared" si="344"/>
        <v>2.429401960983017E-3</v>
      </c>
      <c r="N230" s="508">
        <v>4120</v>
      </c>
      <c r="O230" s="509">
        <f t="shared" ref="O230:O266" si="354">N230/N$11</f>
        <v>7.5839978381924604E-4</v>
      </c>
      <c r="P230" s="655">
        <v>4379</v>
      </c>
      <c r="Q230" s="356">
        <f t="shared" ref="Q230:Q266" si="355">P230/P$11</f>
        <v>7.5398770650507668E-4</v>
      </c>
      <c r="R230" s="508">
        <v>34224</v>
      </c>
      <c r="S230" s="509">
        <f t="shared" ref="S230:S266" si="356">R230/R$11</f>
        <v>6.4702367032041701E-3</v>
      </c>
      <c r="T230" s="355">
        <v>23169</v>
      </c>
      <c r="U230" s="356">
        <f t="shared" si="345"/>
        <v>4.7660914470782616E-3</v>
      </c>
      <c r="V230" s="655">
        <v>17940</v>
      </c>
      <c r="W230" s="860">
        <f t="shared" ref="W230:W266" si="357">V230/V$11</f>
        <v>3.3297888590907228E-3</v>
      </c>
      <c r="X230" s="656">
        <v>4950</v>
      </c>
      <c r="Y230" s="860">
        <f t="shared" ref="Y230:Y266" si="358">X230/X$11</f>
        <v>9.1955099161035111E-4</v>
      </c>
      <c r="Z230" s="1084">
        <v>12000</v>
      </c>
      <c r="AA230" s="1050">
        <f t="shared" ref="AA230:AA266" si="359">Z230/Z$11</f>
        <v>2.4365482233502538E-3</v>
      </c>
      <c r="AB230" s="1144">
        <f t="shared" si="346"/>
        <v>-8000</v>
      </c>
      <c r="AC230" s="1136"/>
      <c r="AD230" s="557">
        <v>16667</v>
      </c>
      <c r="AE230" s="748">
        <f t="shared" ref="AE230:AE266" si="360">AD230/AD$11</f>
        <v>3.6610806283430947E-3</v>
      </c>
      <c r="AF230" s="978">
        <f t="shared" ref="AF230:AF265" si="361">AJ230*$AX$3</f>
        <v>16600</v>
      </c>
      <c r="AG230" s="782">
        <f t="shared" ref="AG230:AG266" si="362">AF230/AF$11</f>
        <v>3.487863914475896E-3</v>
      </c>
      <c r="AH230" s="1001">
        <f t="shared" si="347"/>
        <v>67</v>
      </c>
      <c r="AI230" s="451">
        <f t="shared" si="348"/>
        <v>4.0361445783132534E-3</v>
      </c>
      <c r="AJ230" s="1084">
        <v>20000</v>
      </c>
      <c r="AK230" s="1050">
        <f t="shared" ref="AK230:AK266" si="363">AJ230/AJ$11</f>
        <v>3.7383177570093459E-3</v>
      </c>
      <c r="AL230" s="840">
        <v>20000</v>
      </c>
      <c r="AM230" s="586">
        <f t="shared" ref="AM230:AM266" si="364">AL230/AL$11</f>
        <v>3.5714285714285713E-3</v>
      </c>
      <c r="AN230" s="978">
        <v>20000</v>
      </c>
      <c r="AO230" s="782">
        <f t="shared" ref="AO230:AO266" si="365">AN230/AN$11</f>
        <v>3.5714285714285713E-3</v>
      </c>
      <c r="AP230" s="450">
        <f t="shared" ref="AP230:AP239" si="366">$AD230-(AL230/12*$AX$1)</f>
        <v>0.33333333333212067</v>
      </c>
      <c r="AQ230" s="451">
        <f t="shared" si="349"/>
        <v>1.6666666666606033E-5</v>
      </c>
      <c r="AR230" s="1126">
        <v>17500</v>
      </c>
      <c r="AS230" s="748">
        <f t="shared" ref="AS230:AS266" si="367">AR230/AR$11</f>
        <v>3.6719338984754339E-3</v>
      </c>
      <c r="AT230" s="902">
        <v>-4737</v>
      </c>
      <c r="AU230" s="748">
        <f t="shared" ref="AU230:AU266" si="368">AT230/AT$11</f>
        <v>-8.821187983296167E-4</v>
      </c>
      <c r="AV230" s="450">
        <f t="shared" si="350"/>
        <v>-833</v>
      </c>
      <c r="AW230" s="452">
        <f t="shared" si="351"/>
        <v>-4.7600000000000003E-2</v>
      </c>
    </row>
    <row r="231" spans="1:50" ht="18" hidden="1" customHeight="1" x14ac:dyDescent="0.25">
      <c r="A231" s="104">
        <v>3</v>
      </c>
      <c r="B231" s="107" t="s">
        <v>139</v>
      </c>
      <c r="C231" s="78" t="s">
        <v>237</v>
      </c>
      <c r="D231" s="56">
        <v>705</v>
      </c>
      <c r="E231" s="57">
        <f t="shared" si="352"/>
        <v>1.339277053763125E-4</v>
      </c>
      <c r="F231" s="167">
        <v>373</v>
      </c>
      <c r="G231" s="166">
        <f t="shared" si="353"/>
        <v>7.2963729984122072E-5</v>
      </c>
      <c r="H231" s="126">
        <v>7220</v>
      </c>
      <c r="I231" s="57">
        <f t="shared" si="342"/>
        <v>1.3235561276707373E-3</v>
      </c>
      <c r="J231" s="167">
        <v>937</v>
      </c>
      <c r="K231" s="166">
        <f t="shared" si="343"/>
        <v>1.6767861396177678E-4</v>
      </c>
      <c r="L231" s="306">
        <v>3922</v>
      </c>
      <c r="M231" s="214">
        <f t="shared" si="344"/>
        <v>7.6432813179651803E-4</v>
      </c>
      <c r="N231" s="508">
        <v>879</v>
      </c>
      <c r="O231" s="509">
        <f t="shared" si="354"/>
        <v>1.6180422572260129E-4</v>
      </c>
      <c r="P231" s="655">
        <v>2688</v>
      </c>
      <c r="Q231" s="356">
        <f t="shared" si="355"/>
        <v>4.6282689086221652E-4</v>
      </c>
      <c r="R231" s="508">
        <v>18485</v>
      </c>
      <c r="S231" s="509">
        <f t="shared" si="356"/>
        <v>3.4946916041003122E-3</v>
      </c>
      <c r="T231" s="355">
        <v>0</v>
      </c>
      <c r="U231" s="356">
        <f t="shared" si="345"/>
        <v>0</v>
      </c>
      <c r="V231" s="655">
        <v>0</v>
      </c>
      <c r="W231" s="860">
        <f t="shared" si="357"/>
        <v>0</v>
      </c>
      <c r="X231" s="656">
        <v>2836</v>
      </c>
      <c r="Y231" s="860">
        <f t="shared" si="358"/>
        <v>5.2683769943574863E-4</v>
      </c>
      <c r="Z231" s="1084">
        <v>0</v>
      </c>
      <c r="AA231" s="1050">
        <f t="shared" si="359"/>
        <v>0</v>
      </c>
      <c r="AB231" s="1144">
        <f t="shared" si="346"/>
        <v>-4000</v>
      </c>
      <c r="AC231" s="1136"/>
      <c r="AD231" s="557">
        <v>2189</v>
      </c>
      <c r="AE231" s="748">
        <f t="shared" si="360"/>
        <v>4.8083671299232219E-4</v>
      </c>
      <c r="AF231" s="978">
        <f t="shared" si="361"/>
        <v>3320</v>
      </c>
      <c r="AG231" s="782">
        <f t="shared" si="362"/>
        <v>6.9757278289517917E-4</v>
      </c>
      <c r="AH231" s="1001">
        <f t="shared" si="347"/>
        <v>-1131</v>
      </c>
      <c r="AI231" s="451">
        <f t="shared" si="348"/>
        <v>-0.34066265060240963</v>
      </c>
      <c r="AJ231" s="1084">
        <v>4000</v>
      </c>
      <c r="AK231" s="1050">
        <f t="shared" si="363"/>
        <v>7.4766355140186912E-4</v>
      </c>
      <c r="AL231" s="840">
        <v>7500</v>
      </c>
      <c r="AM231" s="586">
        <f t="shared" si="364"/>
        <v>1.3392857142857143E-3</v>
      </c>
      <c r="AN231" s="978">
        <v>7500</v>
      </c>
      <c r="AO231" s="782">
        <f t="shared" si="365"/>
        <v>1.3392857142857143E-3</v>
      </c>
      <c r="AP231" s="1001">
        <f>$AD231-(AL231*$AX$8)</f>
        <v>434</v>
      </c>
      <c r="AQ231" s="451">
        <f t="shared" si="349"/>
        <v>5.7866666666666663E-2</v>
      </c>
      <c r="AR231" s="1126">
        <v>56621</v>
      </c>
      <c r="AS231" s="748">
        <f t="shared" si="367"/>
        <v>1.1880489672318717E-2</v>
      </c>
      <c r="AT231" s="902">
        <f>63682+4412</f>
        <v>68094</v>
      </c>
      <c r="AU231" s="748">
        <f t="shared" si="368"/>
        <v>1.2680387893911108E-2</v>
      </c>
      <c r="AV231" s="450">
        <f t="shared" si="350"/>
        <v>-54432</v>
      </c>
      <c r="AW231" s="452">
        <f t="shared" si="351"/>
        <v>-0.96133943236608321</v>
      </c>
    </row>
    <row r="232" spans="1:50" ht="18" hidden="1" customHeight="1" x14ac:dyDescent="0.25">
      <c r="A232" s="104">
        <v>4</v>
      </c>
      <c r="B232" s="107" t="s">
        <v>7</v>
      </c>
      <c r="C232" s="78" t="s">
        <v>6</v>
      </c>
      <c r="D232" s="56">
        <f>2500+7300</f>
        <v>9800</v>
      </c>
      <c r="E232" s="57">
        <f t="shared" si="352"/>
        <v>1.8616900889189538E-3</v>
      </c>
      <c r="F232" s="167">
        <f>7500+21112</f>
        <v>28612</v>
      </c>
      <c r="G232" s="166">
        <f t="shared" si="353"/>
        <v>5.5968853681117982E-3</v>
      </c>
      <c r="H232" s="126">
        <v>18594</v>
      </c>
      <c r="I232" s="57">
        <f t="shared" si="342"/>
        <v>3.4086153238102063E-3</v>
      </c>
      <c r="J232" s="167">
        <v>26494</v>
      </c>
      <c r="K232" s="166">
        <f t="shared" si="343"/>
        <v>4.7411709693738679E-3</v>
      </c>
      <c r="L232" s="306">
        <v>36193</v>
      </c>
      <c r="M232" s="214">
        <f t="shared" si="344"/>
        <v>7.0533727878917324E-3</v>
      </c>
      <c r="N232" s="510">
        <f>10701-25000</f>
        <v>-14299</v>
      </c>
      <c r="O232" s="509">
        <f t="shared" si="354"/>
        <v>-2.6321258516581068E-3</v>
      </c>
      <c r="P232" s="655">
        <v>8238</v>
      </c>
      <c r="Q232" s="356">
        <f t="shared" si="355"/>
        <v>1.4184404490040698E-3</v>
      </c>
      <c r="R232" s="508">
        <v>9341</v>
      </c>
      <c r="S232" s="509">
        <f t="shared" si="356"/>
        <v>1.7659677724588053E-3</v>
      </c>
      <c r="T232" s="355">
        <v>7823</v>
      </c>
      <c r="U232" s="356">
        <f t="shared" si="345"/>
        <v>1.60926813373444E-3</v>
      </c>
      <c r="V232" s="655">
        <v>8013</v>
      </c>
      <c r="W232" s="860">
        <f t="shared" si="357"/>
        <v>1.4872685690018931E-3</v>
      </c>
      <c r="X232" s="656">
        <v>10151</v>
      </c>
      <c r="Y232" s="860">
        <f t="shared" si="358"/>
        <v>1.8857297203710454E-3</v>
      </c>
      <c r="Z232" s="1084">
        <v>11000</v>
      </c>
      <c r="AA232" s="1050">
        <f t="shared" si="359"/>
        <v>2.2335025380710661E-3</v>
      </c>
      <c r="AB232" s="1144">
        <f t="shared" si="346"/>
        <v>0</v>
      </c>
      <c r="AC232" s="1136"/>
      <c r="AD232" s="557">
        <v>7009</v>
      </c>
      <c r="AE232" s="748">
        <f t="shared" si="360"/>
        <v>1.5396000554422963E-3</v>
      </c>
      <c r="AF232" s="978">
        <f t="shared" si="361"/>
        <v>9130</v>
      </c>
      <c r="AG232" s="782">
        <f t="shared" si="362"/>
        <v>1.9183251529617427E-3</v>
      </c>
      <c r="AH232" s="1001">
        <f t="shared" si="347"/>
        <v>-2121</v>
      </c>
      <c r="AI232" s="451">
        <f t="shared" si="348"/>
        <v>-0.23231106243154437</v>
      </c>
      <c r="AJ232" s="1084">
        <v>11000</v>
      </c>
      <c r="AK232" s="1050">
        <f t="shared" si="363"/>
        <v>2.0560747663551401E-3</v>
      </c>
      <c r="AL232" s="840">
        <v>11000</v>
      </c>
      <c r="AM232" s="586">
        <f t="shared" si="364"/>
        <v>1.9642857142857144E-3</v>
      </c>
      <c r="AN232" s="978">
        <v>11000</v>
      </c>
      <c r="AO232" s="782">
        <f t="shared" si="365"/>
        <v>1.9642857142857144E-3</v>
      </c>
      <c r="AP232" s="1001">
        <f>$AD232-(AL232*$AX$8)</f>
        <v>4435</v>
      </c>
      <c r="AQ232" s="451">
        <f t="shared" si="349"/>
        <v>0.4031818181818182</v>
      </c>
      <c r="AR232" s="1126">
        <v>9164</v>
      </c>
      <c r="AS232" s="748">
        <f t="shared" si="367"/>
        <v>1.9228344140359357E-3</v>
      </c>
      <c r="AT232" s="902">
        <v>9745</v>
      </c>
      <c r="AU232" s="748">
        <f t="shared" si="368"/>
        <v>1.814702911066522E-3</v>
      </c>
      <c r="AV232" s="450">
        <f t="shared" si="350"/>
        <v>-2155</v>
      </c>
      <c r="AW232" s="452">
        <f t="shared" si="351"/>
        <v>-0.23515931907463988</v>
      </c>
    </row>
    <row r="233" spans="1:50" ht="18" hidden="1" customHeight="1" x14ac:dyDescent="0.25">
      <c r="A233" s="104">
        <v>5</v>
      </c>
      <c r="B233" s="107" t="s">
        <v>269</v>
      </c>
      <c r="C233" s="78" t="s">
        <v>253</v>
      </c>
      <c r="D233" s="56">
        <v>0</v>
      </c>
      <c r="E233" s="57">
        <f t="shared" si="352"/>
        <v>0</v>
      </c>
      <c r="F233" s="165">
        <v>0</v>
      </c>
      <c r="G233" s="166">
        <f t="shared" si="353"/>
        <v>0</v>
      </c>
      <c r="H233" s="125">
        <v>0</v>
      </c>
      <c r="I233" s="57">
        <f t="shared" si="342"/>
        <v>0</v>
      </c>
      <c r="J233" s="165">
        <v>1532</v>
      </c>
      <c r="K233" s="166">
        <f t="shared" si="343"/>
        <v>2.741554285906532E-4</v>
      </c>
      <c r="L233" s="307">
        <v>44614</v>
      </c>
      <c r="M233" s="214">
        <f t="shared" si="344"/>
        <v>8.694476101981095E-3</v>
      </c>
      <c r="N233" s="508">
        <v>1681</v>
      </c>
      <c r="O233" s="509">
        <f t="shared" si="354"/>
        <v>3.0943447490294968E-4</v>
      </c>
      <c r="P233" s="655">
        <v>1760</v>
      </c>
      <c r="Q233" s="356">
        <f t="shared" si="355"/>
        <v>3.0304141663597511E-4</v>
      </c>
      <c r="R233" s="508">
        <v>2127</v>
      </c>
      <c r="S233" s="509">
        <f t="shared" si="356"/>
        <v>4.0212112750453684E-4</v>
      </c>
      <c r="T233" s="355">
        <v>2094</v>
      </c>
      <c r="U233" s="356">
        <f t="shared" si="345"/>
        <v>4.3075641979290776E-4</v>
      </c>
      <c r="V233" s="655">
        <v>5518</v>
      </c>
      <c r="W233" s="860">
        <f t="shared" si="357"/>
        <v>1.0241792042621298E-3</v>
      </c>
      <c r="X233" s="656">
        <v>4450</v>
      </c>
      <c r="Y233" s="860">
        <f t="shared" si="358"/>
        <v>8.2666705306385106E-4</v>
      </c>
      <c r="Z233" s="1084">
        <f>4500-2800</f>
        <v>1700</v>
      </c>
      <c r="AA233" s="1050">
        <f t="shared" si="359"/>
        <v>3.4517766497461927E-4</v>
      </c>
      <c r="AB233" s="1144">
        <f t="shared" si="346"/>
        <v>-2800</v>
      </c>
      <c r="AC233" s="1136"/>
      <c r="AD233" s="557">
        <v>3674</v>
      </c>
      <c r="AE233" s="748">
        <f t="shared" si="360"/>
        <v>8.070324730624905E-4</v>
      </c>
      <c r="AF233" s="978">
        <f t="shared" si="361"/>
        <v>3735</v>
      </c>
      <c r="AG233" s="782">
        <f t="shared" si="362"/>
        <v>7.8476938075707663E-4</v>
      </c>
      <c r="AH233" s="1001">
        <f t="shared" si="347"/>
        <v>-61</v>
      </c>
      <c r="AI233" s="451">
        <f t="shared" si="348"/>
        <v>-1.6331994645247656E-2</v>
      </c>
      <c r="AJ233" s="1084">
        <v>4500</v>
      </c>
      <c r="AK233" s="1050">
        <f t="shared" si="363"/>
        <v>8.4112149532710281E-4</v>
      </c>
      <c r="AL233" s="840">
        <v>5000</v>
      </c>
      <c r="AM233" s="586">
        <f t="shared" si="364"/>
        <v>8.9285714285714283E-4</v>
      </c>
      <c r="AN233" s="978">
        <v>5000</v>
      </c>
      <c r="AO233" s="782">
        <f t="shared" si="365"/>
        <v>8.9285714285714283E-4</v>
      </c>
      <c r="AP233" s="1001">
        <f>$AD233-(AL233*$AX$7)</f>
        <v>324</v>
      </c>
      <c r="AQ233" s="451">
        <f t="shared" si="349"/>
        <v>6.4799999999999996E-2</v>
      </c>
      <c r="AR233" s="1126">
        <v>4291</v>
      </c>
      <c r="AS233" s="748">
        <f t="shared" si="367"/>
        <v>9.0035819190617647E-4</v>
      </c>
      <c r="AT233" s="902">
        <v>4388</v>
      </c>
      <c r="AU233" s="748">
        <f t="shared" si="368"/>
        <v>8.1712841187890183E-4</v>
      </c>
      <c r="AV233" s="450">
        <f t="shared" si="350"/>
        <v>-617</v>
      </c>
      <c r="AW233" s="452">
        <f t="shared" si="351"/>
        <v>-0.14378932649731999</v>
      </c>
    </row>
    <row r="234" spans="1:50" ht="18" hidden="1" customHeight="1" x14ac:dyDescent="0.25">
      <c r="A234" s="104">
        <v>6</v>
      </c>
      <c r="B234" s="107"/>
      <c r="C234" s="78" t="s">
        <v>335</v>
      </c>
      <c r="D234" s="56"/>
      <c r="E234" s="57"/>
      <c r="F234" s="165"/>
      <c r="G234" s="166"/>
      <c r="H234" s="125"/>
      <c r="I234" s="57"/>
      <c r="J234" s="165"/>
      <c r="K234" s="166"/>
      <c r="L234" s="307"/>
      <c r="M234" s="214"/>
      <c r="N234" s="541">
        <v>0</v>
      </c>
      <c r="O234" s="509">
        <f t="shared" si="354"/>
        <v>0</v>
      </c>
      <c r="P234" s="705">
        <v>0</v>
      </c>
      <c r="Q234" s="356">
        <f t="shared" si="355"/>
        <v>0</v>
      </c>
      <c r="R234" s="541">
        <f>17693-17870</f>
        <v>-177</v>
      </c>
      <c r="S234" s="509">
        <f t="shared" si="356"/>
        <v>-3.3462830074425495E-5</v>
      </c>
      <c r="T234" s="355">
        <v>44161</v>
      </c>
      <c r="U234" s="356">
        <f t="shared" si="345"/>
        <v>9.0843525570556832E-3</v>
      </c>
      <c r="V234" s="655">
        <v>60246</v>
      </c>
      <c r="W234" s="860">
        <f t="shared" si="357"/>
        <v>1.1182076901046804E-2</v>
      </c>
      <c r="X234" s="656">
        <v>16653</v>
      </c>
      <c r="Y234" s="860">
        <f t="shared" si="358"/>
        <v>3.0935924572297329E-3</v>
      </c>
      <c r="Z234" s="1084">
        <v>0</v>
      </c>
      <c r="AA234" s="1050">
        <f t="shared" si="359"/>
        <v>0</v>
      </c>
      <c r="AB234" s="1144">
        <f t="shared" si="346"/>
        <v>-36055</v>
      </c>
      <c r="AC234" s="1136"/>
      <c r="AD234" s="557">
        <v>39190</v>
      </c>
      <c r="AE234" s="748">
        <f t="shared" si="360"/>
        <v>8.608492819629561E-3</v>
      </c>
      <c r="AF234" s="978">
        <v>36055</v>
      </c>
      <c r="AG234" s="782">
        <f t="shared" si="362"/>
        <v>7.5755983997848452E-3</v>
      </c>
      <c r="AH234" s="1001">
        <f t="shared" si="347"/>
        <v>3135</v>
      </c>
      <c r="AI234" s="451">
        <f t="shared" si="348"/>
        <v>8.6950492303425317E-2</v>
      </c>
      <c r="AJ234" s="1084">
        <v>36055</v>
      </c>
      <c r="AK234" s="1050">
        <f t="shared" si="363"/>
        <v>6.7392523364485984E-3</v>
      </c>
      <c r="AL234" s="840">
        <v>30000</v>
      </c>
      <c r="AM234" s="586">
        <f t="shared" si="364"/>
        <v>5.3571428571428572E-3</v>
      </c>
      <c r="AN234" s="978">
        <v>30000</v>
      </c>
      <c r="AO234" s="782">
        <f t="shared" si="365"/>
        <v>5.3571428571428572E-3</v>
      </c>
      <c r="AP234" s="1001">
        <f>$AD234-(AL234*$AX$3)</f>
        <v>14290</v>
      </c>
      <c r="AQ234" s="451">
        <f t="shared" si="349"/>
        <v>0.47633333333333333</v>
      </c>
      <c r="AR234" s="1126">
        <v>30359</v>
      </c>
      <c r="AS234" s="748">
        <f t="shared" si="367"/>
        <v>6.3700709270751834E-3</v>
      </c>
      <c r="AT234" s="902">
        <v>7169</v>
      </c>
      <c r="AU234" s="748">
        <f t="shared" si="368"/>
        <v>1.3350030958887529E-3</v>
      </c>
      <c r="AV234" s="450">
        <f t="shared" si="350"/>
        <v>8831</v>
      </c>
      <c r="AW234" s="452">
        <f t="shared" si="351"/>
        <v>0.29088573404921109</v>
      </c>
      <c r="AX234" s="266" t="s">
        <v>330</v>
      </c>
    </row>
    <row r="235" spans="1:50" ht="18" hidden="1" customHeight="1" x14ac:dyDescent="0.25">
      <c r="A235" s="104">
        <v>7</v>
      </c>
      <c r="B235" s="107" t="s">
        <v>141</v>
      </c>
      <c r="C235" s="78" t="s">
        <v>285</v>
      </c>
      <c r="D235" s="56">
        <v>1178</v>
      </c>
      <c r="E235" s="57">
        <f t="shared" si="352"/>
        <v>2.2378274742311508E-4</v>
      </c>
      <c r="F235" s="167">
        <v>1101</v>
      </c>
      <c r="G235" s="166">
        <f t="shared" si="353"/>
        <v>2.1537015204428528E-4</v>
      </c>
      <c r="H235" s="126">
        <f>144+5250</f>
        <v>5394</v>
      </c>
      <c r="I235" s="57">
        <f t="shared" si="342"/>
        <v>9.88817417265368E-4</v>
      </c>
      <c r="J235" s="167">
        <v>1734</v>
      </c>
      <c r="K235" s="166">
        <f t="shared" si="343"/>
        <v>3.1030385977558265E-4</v>
      </c>
      <c r="L235" s="306">
        <v>1306</v>
      </c>
      <c r="M235" s="214">
        <f t="shared" si="344"/>
        <v>2.5451620095008989E-4</v>
      </c>
      <c r="N235" s="508">
        <v>1176</v>
      </c>
      <c r="O235" s="509">
        <f t="shared" si="354"/>
        <v>2.1647527809986246E-4</v>
      </c>
      <c r="P235" s="655">
        <v>6</v>
      </c>
      <c r="Q235" s="356">
        <f t="shared" si="355"/>
        <v>1.0330957385317333E-6</v>
      </c>
      <c r="R235" s="508">
        <v>2134</v>
      </c>
      <c r="S235" s="509">
        <f t="shared" si="356"/>
        <v>4.0344451626454238E-4</v>
      </c>
      <c r="T235" s="355">
        <v>1100</v>
      </c>
      <c r="U235" s="356">
        <f t="shared" si="345"/>
        <v>2.2628083179188088E-4</v>
      </c>
      <c r="V235" s="655">
        <v>872</v>
      </c>
      <c r="W235" s="860">
        <f t="shared" si="357"/>
        <v>1.6184926895914772E-4</v>
      </c>
      <c r="X235" s="656">
        <v>961</v>
      </c>
      <c r="Y235" s="860">
        <f t="shared" si="358"/>
        <v>1.7852292988637322E-4</v>
      </c>
      <c r="Z235" s="1084">
        <v>500</v>
      </c>
      <c r="AA235" s="1050">
        <f t="shared" si="359"/>
        <v>1.0152284263959391E-4</v>
      </c>
      <c r="AB235" s="1144">
        <f t="shared" si="346"/>
        <v>0</v>
      </c>
      <c r="AC235" s="1136"/>
      <c r="AD235" s="557">
        <v>0</v>
      </c>
      <c r="AE235" s="748">
        <f t="shared" si="360"/>
        <v>0</v>
      </c>
      <c r="AF235" s="978">
        <f t="shared" si="361"/>
        <v>415</v>
      </c>
      <c r="AG235" s="782">
        <f t="shared" si="362"/>
        <v>8.7196597861897396E-5</v>
      </c>
      <c r="AH235" s="1001">
        <f t="shared" si="347"/>
        <v>-415</v>
      </c>
      <c r="AI235" s="451">
        <f t="shared" si="348"/>
        <v>-1</v>
      </c>
      <c r="AJ235" s="1084">
        <v>500</v>
      </c>
      <c r="AK235" s="1050">
        <f t="shared" si="363"/>
        <v>9.3457943925233641E-5</v>
      </c>
      <c r="AL235" s="840">
        <v>1200</v>
      </c>
      <c r="AM235" s="586">
        <f t="shared" si="364"/>
        <v>2.1428571428571427E-4</v>
      </c>
      <c r="AN235" s="978">
        <v>1200</v>
      </c>
      <c r="AO235" s="782">
        <f t="shared" si="365"/>
        <v>2.1428571428571427E-4</v>
      </c>
      <c r="AP235" s="450">
        <f t="shared" si="366"/>
        <v>-1000</v>
      </c>
      <c r="AQ235" s="451">
        <f t="shared" si="349"/>
        <v>-0.83333333333333337</v>
      </c>
      <c r="AR235" s="1126">
        <v>962</v>
      </c>
      <c r="AS235" s="748">
        <f t="shared" si="367"/>
        <v>2.0185145201904957E-4</v>
      </c>
      <c r="AT235" s="902">
        <v>962</v>
      </c>
      <c r="AU235" s="748">
        <f t="shared" si="368"/>
        <v>1.7914255520225697E-4</v>
      </c>
      <c r="AV235" s="450">
        <f t="shared" si="350"/>
        <v>-962</v>
      </c>
      <c r="AW235" s="452">
        <f t="shared" si="351"/>
        <v>-1</v>
      </c>
    </row>
    <row r="236" spans="1:50" ht="18" hidden="1" customHeight="1" x14ac:dyDescent="0.25">
      <c r="A236" s="104">
        <v>8</v>
      </c>
      <c r="B236" s="107" t="s">
        <v>142</v>
      </c>
      <c r="C236" s="78" t="s">
        <v>238</v>
      </c>
      <c r="D236" s="56">
        <f>1519+774+13772</f>
        <v>16065</v>
      </c>
      <c r="E236" s="57">
        <f t="shared" si="352"/>
        <v>3.0518419671921424E-3</v>
      </c>
      <c r="F236" s="167">
        <f>1562+895+8143</f>
        <v>10600</v>
      </c>
      <c r="G236" s="166">
        <f t="shared" si="353"/>
        <v>2.0735001014254529E-3</v>
      </c>
      <c r="H236" s="126">
        <f>1547+578+12933</f>
        <v>15058</v>
      </c>
      <c r="I236" s="57">
        <f t="shared" si="342"/>
        <v>2.7604027936933466E-3</v>
      </c>
      <c r="J236" s="167">
        <v>16706</v>
      </c>
      <c r="K236" s="166">
        <f t="shared" si="343"/>
        <v>2.9895826305714442E-3</v>
      </c>
      <c r="L236" s="306">
        <v>14104</v>
      </c>
      <c r="M236" s="214">
        <f t="shared" si="344"/>
        <v>2.7486190644717208E-3</v>
      </c>
      <c r="N236" s="508">
        <v>12315</v>
      </c>
      <c r="O236" s="509">
        <f t="shared" si="354"/>
        <v>2.2669158586733048E-3</v>
      </c>
      <c r="P236" s="655">
        <v>17476</v>
      </c>
      <c r="Q236" s="356">
        <f t="shared" si="355"/>
        <v>3.0090635210967618E-3</v>
      </c>
      <c r="R236" s="508">
        <v>14748</v>
      </c>
      <c r="S236" s="509">
        <f t="shared" si="356"/>
        <v>2.7881910617945037E-3</v>
      </c>
      <c r="T236" s="355">
        <v>14201</v>
      </c>
      <c r="U236" s="356">
        <f t="shared" si="345"/>
        <v>2.9212855384331822E-3</v>
      </c>
      <c r="V236" s="655">
        <v>10168</v>
      </c>
      <c r="W236" s="860">
        <f t="shared" si="357"/>
        <v>1.8872515674043739E-3</v>
      </c>
      <c r="X236" s="656">
        <v>14469</v>
      </c>
      <c r="Y236" s="860">
        <f t="shared" si="358"/>
        <v>2.6878754136586201E-3</v>
      </c>
      <c r="Z236" s="1084">
        <v>12000</v>
      </c>
      <c r="AA236" s="1050">
        <f t="shared" si="359"/>
        <v>2.4365482233502538E-3</v>
      </c>
      <c r="AB236" s="1144">
        <f t="shared" si="346"/>
        <v>0</v>
      </c>
      <c r="AC236" s="1136"/>
      <c r="AD236" s="557">
        <v>9834</v>
      </c>
      <c r="AE236" s="748">
        <f t="shared" si="360"/>
        <v>2.1601408111313371E-3</v>
      </c>
      <c r="AF236" s="978">
        <f t="shared" si="361"/>
        <v>9960</v>
      </c>
      <c r="AG236" s="782">
        <f t="shared" si="362"/>
        <v>2.0927183486855374E-3</v>
      </c>
      <c r="AH236" s="1001">
        <f t="shared" si="347"/>
        <v>-126</v>
      </c>
      <c r="AI236" s="451">
        <f t="shared" si="348"/>
        <v>-1.2650602409638554E-2</v>
      </c>
      <c r="AJ236" s="1084">
        <v>12000</v>
      </c>
      <c r="AK236" s="1050">
        <f t="shared" si="363"/>
        <v>2.2429906542056075E-3</v>
      </c>
      <c r="AL236" s="840">
        <v>12000</v>
      </c>
      <c r="AM236" s="586">
        <f t="shared" si="364"/>
        <v>2.142857142857143E-3</v>
      </c>
      <c r="AN236" s="978">
        <v>12000</v>
      </c>
      <c r="AO236" s="782">
        <f t="shared" si="365"/>
        <v>2.142857142857143E-3</v>
      </c>
      <c r="AP236" s="450">
        <f t="shared" si="366"/>
        <v>-166</v>
      </c>
      <c r="AQ236" s="451">
        <f t="shared" si="349"/>
        <v>-1.3833333333333333E-2</v>
      </c>
      <c r="AR236" s="1126">
        <v>7557</v>
      </c>
      <c r="AS236" s="748">
        <f t="shared" si="367"/>
        <v>1.5856459697587916E-3</v>
      </c>
      <c r="AT236" s="902">
        <v>9372</v>
      </c>
      <c r="AU236" s="748">
        <f t="shared" si="368"/>
        <v>1.7452432716793683E-3</v>
      </c>
      <c r="AV236" s="450">
        <f t="shared" si="350"/>
        <v>2277</v>
      </c>
      <c r="AW236" s="452">
        <f t="shared" si="351"/>
        <v>0.30131004366812225</v>
      </c>
    </row>
    <row r="237" spans="1:50" ht="18" hidden="1" customHeight="1" x14ac:dyDescent="0.25">
      <c r="A237" s="104">
        <v>9</v>
      </c>
      <c r="B237" s="107" t="s">
        <v>143</v>
      </c>
      <c r="C237" s="78" t="s">
        <v>286</v>
      </c>
      <c r="D237" s="56">
        <v>7006</v>
      </c>
      <c r="E237" s="57">
        <f t="shared" si="352"/>
        <v>1.3309184452006317E-3</v>
      </c>
      <c r="F237" s="167">
        <v>5630</v>
      </c>
      <c r="G237" s="166">
        <f t="shared" si="353"/>
        <v>1.1013024123608774E-3</v>
      </c>
      <c r="H237" s="126">
        <v>4773</v>
      </c>
      <c r="I237" s="57">
        <f t="shared" si="342"/>
        <v>8.7497692484382681E-4</v>
      </c>
      <c r="J237" s="167">
        <v>3143</v>
      </c>
      <c r="K237" s="166">
        <f t="shared" si="343"/>
        <v>5.6244811492194707E-4</v>
      </c>
      <c r="L237" s="306">
        <v>3636</v>
      </c>
      <c r="M237" s="214">
        <f t="shared" si="344"/>
        <v>7.0859181213976023E-4</v>
      </c>
      <c r="N237" s="508">
        <v>4352</v>
      </c>
      <c r="O237" s="509">
        <f t="shared" si="354"/>
        <v>8.0110579106343663E-4</v>
      </c>
      <c r="P237" s="655">
        <v>5852</v>
      </c>
      <c r="Q237" s="356">
        <f t="shared" si="355"/>
        <v>1.0076127103146172E-3</v>
      </c>
      <c r="R237" s="508">
        <v>4352</v>
      </c>
      <c r="S237" s="509">
        <f t="shared" si="356"/>
        <v>8.2276969764915112E-4</v>
      </c>
      <c r="T237" s="355">
        <v>5001</v>
      </c>
      <c r="U237" s="356">
        <f t="shared" si="345"/>
        <v>1.0287549452647239E-3</v>
      </c>
      <c r="V237" s="655">
        <v>3723</v>
      </c>
      <c r="W237" s="860">
        <f t="shared" si="357"/>
        <v>6.9101471139324194E-4</v>
      </c>
      <c r="X237" s="656">
        <v>3499</v>
      </c>
      <c r="Y237" s="860">
        <f t="shared" si="358"/>
        <v>6.5000180194840784E-4</v>
      </c>
      <c r="Z237" s="1084">
        <v>3500</v>
      </c>
      <c r="AA237" s="1050">
        <f t="shared" si="359"/>
        <v>7.1065989847715735E-4</v>
      </c>
      <c r="AB237" s="1144">
        <f t="shared" si="346"/>
        <v>0</v>
      </c>
      <c r="AC237" s="1136"/>
      <c r="AD237" s="557">
        <v>2589</v>
      </c>
      <c r="AE237" s="748">
        <f t="shared" si="360"/>
        <v>5.6870089078900051E-4</v>
      </c>
      <c r="AF237" s="978">
        <f t="shared" si="361"/>
        <v>2905</v>
      </c>
      <c r="AG237" s="782">
        <f t="shared" si="362"/>
        <v>6.1037618503328181E-4</v>
      </c>
      <c r="AH237" s="1001">
        <f t="shared" si="347"/>
        <v>-316</v>
      </c>
      <c r="AI237" s="451">
        <f t="shared" si="348"/>
        <v>-0.10877796901893287</v>
      </c>
      <c r="AJ237" s="1084">
        <v>3500</v>
      </c>
      <c r="AK237" s="1050">
        <f t="shared" si="363"/>
        <v>6.5420560747663555E-4</v>
      </c>
      <c r="AL237" s="840">
        <v>4000</v>
      </c>
      <c r="AM237" s="586">
        <f t="shared" si="364"/>
        <v>7.1428571428571429E-4</v>
      </c>
      <c r="AN237" s="978">
        <v>4000</v>
      </c>
      <c r="AO237" s="782">
        <f t="shared" si="365"/>
        <v>7.1428571428571429E-4</v>
      </c>
      <c r="AP237" s="450">
        <f t="shared" si="366"/>
        <v>-744.33333333333303</v>
      </c>
      <c r="AQ237" s="451">
        <f t="shared" si="349"/>
        <v>-0.18608333333333327</v>
      </c>
      <c r="AR237" s="1126">
        <v>2806</v>
      </c>
      <c r="AS237" s="748">
        <f t="shared" si="367"/>
        <v>5.8876837252126106E-4</v>
      </c>
      <c r="AT237" s="902">
        <v>3161</v>
      </c>
      <c r="AU237" s="748">
        <f t="shared" si="368"/>
        <v>5.8863785550346596E-4</v>
      </c>
      <c r="AV237" s="450">
        <f t="shared" si="350"/>
        <v>-217</v>
      </c>
      <c r="AW237" s="452">
        <f t="shared" si="351"/>
        <v>-7.733428367783321E-2</v>
      </c>
    </row>
    <row r="238" spans="1:50" ht="18" hidden="1" customHeight="1" x14ac:dyDescent="0.25">
      <c r="A238" s="104">
        <v>10</v>
      </c>
      <c r="B238" s="107" t="s">
        <v>144</v>
      </c>
      <c r="C238" s="78" t="s">
        <v>334</v>
      </c>
      <c r="D238" s="56">
        <f>4513+2084</f>
        <v>6597</v>
      </c>
      <c r="E238" s="57">
        <f t="shared" si="352"/>
        <v>1.2532213792447284E-3</v>
      </c>
      <c r="F238" s="167">
        <f>3094+1721</f>
        <v>4815</v>
      </c>
      <c r="G238" s="166">
        <f t="shared" si="353"/>
        <v>9.4187764041165625E-4</v>
      </c>
      <c r="H238" s="126">
        <f>3766+1592</f>
        <v>5358</v>
      </c>
      <c r="I238" s="57">
        <f t="shared" si="342"/>
        <v>9.8221796842933658E-4</v>
      </c>
      <c r="J238" s="167">
        <f>3288+1233</f>
        <v>4521</v>
      </c>
      <c r="K238" s="166">
        <f t="shared" si="343"/>
        <v>8.090448385498323E-4</v>
      </c>
      <c r="L238" s="306">
        <f>4879+1690</f>
        <v>6569</v>
      </c>
      <c r="M238" s="214">
        <f t="shared" si="344"/>
        <v>1.280181411976371E-3</v>
      </c>
      <c r="N238" s="508">
        <f>5840+1620</f>
        <v>7460</v>
      </c>
      <c r="O238" s="509">
        <f t="shared" si="354"/>
        <v>1.3732190260416447E-3</v>
      </c>
      <c r="P238" s="655">
        <f>7011+1185</f>
        <v>8196</v>
      </c>
      <c r="Q238" s="356">
        <f t="shared" si="355"/>
        <v>1.4112087788343477E-3</v>
      </c>
      <c r="R238" s="508">
        <f>9736+804</f>
        <v>10540</v>
      </c>
      <c r="S238" s="509">
        <f t="shared" si="356"/>
        <v>1.9926453614940377E-3</v>
      </c>
      <c r="T238" s="355">
        <v>1781</v>
      </c>
      <c r="U238" s="356">
        <f t="shared" si="345"/>
        <v>3.6636923765576352E-4</v>
      </c>
      <c r="V238" s="655">
        <v>0</v>
      </c>
      <c r="W238" s="860">
        <f t="shared" si="357"/>
        <v>0</v>
      </c>
      <c r="X238" s="656">
        <v>4048</v>
      </c>
      <c r="Y238" s="860">
        <f t="shared" si="358"/>
        <v>7.5198836647246488E-4</v>
      </c>
      <c r="Z238" s="1084">
        <v>500</v>
      </c>
      <c r="AA238" s="1050">
        <f t="shared" si="359"/>
        <v>1.0152284263959391E-4</v>
      </c>
      <c r="AB238" s="1144">
        <f t="shared" si="346"/>
        <v>0</v>
      </c>
      <c r="AC238" s="1136"/>
      <c r="AD238" s="557">
        <v>199</v>
      </c>
      <c r="AE238" s="748">
        <f t="shared" si="360"/>
        <v>4.3712428453847472E-5</v>
      </c>
      <c r="AF238" s="978">
        <f t="shared" si="361"/>
        <v>415</v>
      </c>
      <c r="AG238" s="782">
        <f t="shared" si="362"/>
        <v>8.7196597861897396E-5</v>
      </c>
      <c r="AH238" s="1001">
        <f t="shared" si="347"/>
        <v>-216</v>
      </c>
      <c r="AI238" s="451">
        <f t="shared" si="348"/>
        <v>-0.52048192771084334</v>
      </c>
      <c r="AJ238" s="1084">
        <v>500</v>
      </c>
      <c r="AK238" s="1050">
        <f t="shared" si="363"/>
        <v>9.3457943925233641E-5</v>
      </c>
      <c r="AL238" s="840">
        <v>1500</v>
      </c>
      <c r="AM238" s="586">
        <f t="shared" si="364"/>
        <v>2.6785714285714287E-4</v>
      </c>
      <c r="AN238" s="978">
        <v>1500</v>
      </c>
      <c r="AO238" s="782">
        <f t="shared" si="365"/>
        <v>2.6785714285714287E-4</v>
      </c>
      <c r="AP238" s="450">
        <f t="shared" si="366"/>
        <v>-1051</v>
      </c>
      <c r="AQ238" s="451">
        <f t="shared" si="349"/>
        <v>-0.70066666666666666</v>
      </c>
      <c r="AR238" s="1126">
        <v>3880</v>
      </c>
      <c r="AS238" s="748">
        <f t="shared" si="367"/>
        <v>8.141202014905534E-4</v>
      </c>
      <c r="AT238" s="902">
        <v>3880</v>
      </c>
      <c r="AU238" s="748">
        <f t="shared" si="368"/>
        <v>7.2252922472427973E-4</v>
      </c>
      <c r="AV238" s="450">
        <f t="shared" si="350"/>
        <v>-3681</v>
      </c>
      <c r="AW238" s="452">
        <f t="shared" si="351"/>
        <v>-0.94871134020618553</v>
      </c>
    </row>
    <row r="239" spans="1:50" ht="18" hidden="1" customHeight="1" x14ac:dyDescent="0.25">
      <c r="A239" s="104">
        <v>11</v>
      </c>
      <c r="B239" s="107" t="s">
        <v>145</v>
      </c>
      <c r="C239" s="78" t="s">
        <v>201</v>
      </c>
      <c r="D239" s="56">
        <f>199+908+1154+618</f>
        <v>2879</v>
      </c>
      <c r="E239" s="57">
        <f t="shared" si="352"/>
        <v>5.469189557140478E-4</v>
      </c>
      <c r="F239" s="167">
        <f>199+465+1498+948</f>
        <v>3110</v>
      </c>
      <c r="G239" s="166">
        <f t="shared" si="353"/>
        <v>6.083571052295433E-4</v>
      </c>
      <c r="H239" s="126">
        <f>734+1089+958</f>
        <v>2781</v>
      </c>
      <c r="I239" s="57">
        <f t="shared" si="342"/>
        <v>5.0980742258342391E-4</v>
      </c>
      <c r="J239" s="167">
        <v>2934</v>
      </c>
      <c r="K239" s="166">
        <f t="shared" si="343"/>
        <v>5.2504701532961914E-4</v>
      </c>
      <c r="L239" s="306">
        <v>1900</v>
      </c>
      <c r="M239" s="214">
        <f t="shared" si="344"/>
        <v>3.7027624946797151E-4</v>
      </c>
      <c r="N239" s="508">
        <v>1644</v>
      </c>
      <c r="O239" s="509">
        <f t="shared" si="354"/>
        <v>3.0262360305797104E-4</v>
      </c>
      <c r="P239" s="655">
        <v>1955</v>
      </c>
      <c r="Q239" s="356">
        <f t="shared" si="355"/>
        <v>3.3661702813825647E-4</v>
      </c>
      <c r="R239" s="508">
        <v>923</v>
      </c>
      <c r="S239" s="509">
        <f t="shared" si="356"/>
        <v>1.7449826078358606E-4</v>
      </c>
      <c r="T239" s="355">
        <v>1835</v>
      </c>
      <c r="U239" s="356">
        <f t="shared" si="345"/>
        <v>3.7747756939827401E-4</v>
      </c>
      <c r="V239" s="655">
        <v>1074</v>
      </c>
      <c r="W239" s="860">
        <f t="shared" si="357"/>
        <v>1.9934187484188607E-4</v>
      </c>
      <c r="X239" s="656">
        <v>814</v>
      </c>
      <c r="Y239" s="860">
        <f t="shared" si="358"/>
        <v>1.512150519537022E-4</v>
      </c>
      <c r="Z239" s="1084">
        <v>1000</v>
      </c>
      <c r="AA239" s="1050">
        <f t="shared" si="359"/>
        <v>2.0304568527918781E-4</v>
      </c>
      <c r="AB239" s="1144">
        <f t="shared" si="346"/>
        <v>0</v>
      </c>
      <c r="AC239" s="1136"/>
      <c r="AD239" s="557">
        <v>748</v>
      </c>
      <c r="AE239" s="748">
        <f t="shared" si="360"/>
        <v>1.6430601247978849E-4</v>
      </c>
      <c r="AF239" s="978">
        <f t="shared" si="361"/>
        <v>830</v>
      </c>
      <c r="AG239" s="782">
        <f t="shared" si="362"/>
        <v>1.7439319572379479E-4</v>
      </c>
      <c r="AH239" s="1001">
        <f t="shared" si="347"/>
        <v>-82</v>
      </c>
      <c r="AI239" s="451">
        <f t="shared" si="348"/>
        <v>-9.8795180722891562E-2</v>
      </c>
      <c r="AJ239" s="1084">
        <v>1000</v>
      </c>
      <c r="AK239" s="1050">
        <f t="shared" si="363"/>
        <v>1.8691588785046728E-4</v>
      </c>
      <c r="AL239" s="840">
        <v>1000</v>
      </c>
      <c r="AM239" s="586">
        <f t="shared" si="364"/>
        <v>1.7857142857142857E-4</v>
      </c>
      <c r="AN239" s="978">
        <v>1000</v>
      </c>
      <c r="AO239" s="782">
        <f t="shared" si="365"/>
        <v>1.7857142857142857E-4</v>
      </c>
      <c r="AP239" s="450">
        <f t="shared" si="366"/>
        <v>-85.333333333333258</v>
      </c>
      <c r="AQ239" s="451">
        <f t="shared" si="349"/>
        <v>-8.5333333333333261E-2</v>
      </c>
      <c r="AR239" s="1126">
        <v>902</v>
      </c>
      <c r="AS239" s="748">
        <f t="shared" si="367"/>
        <v>1.8926196436713379E-4</v>
      </c>
      <c r="AT239" s="902">
        <v>902</v>
      </c>
      <c r="AU239" s="748">
        <f t="shared" si="368"/>
        <v>1.6796942286115987E-4</v>
      </c>
      <c r="AV239" s="450">
        <f t="shared" si="350"/>
        <v>-154</v>
      </c>
      <c r="AW239" s="452">
        <f t="shared" si="351"/>
        <v>-0.17073170731707318</v>
      </c>
    </row>
    <row r="240" spans="1:50" ht="18" hidden="1" customHeight="1" x14ac:dyDescent="0.25">
      <c r="A240" s="104">
        <v>12</v>
      </c>
      <c r="B240" s="107" t="s">
        <v>146</v>
      </c>
      <c r="C240" s="78" t="s">
        <v>239</v>
      </c>
      <c r="D240" s="56">
        <v>11268</v>
      </c>
      <c r="E240" s="57">
        <f t="shared" si="352"/>
        <v>2.1405636655039565E-3</v>
      </c>
      <c r="F240" s="167">
        <v>12424</v>
      </c>
      <c r="G240" s="166">
        <f t="shared" si="353"/>
        <v>2.4302986094443236E-3</v>
      </c>
      <c r="H240" s="126">
        <v>13180</v>
      </c>
      <c r="I240" s="57">
        <f t="shared" si="342"/>
        <v>2.4161315460803764E-3</v>
      </c>
      <c r="J240" s="167">
        <v>14638</v>
      </c>
      <c r="K240" s="166">
        <f t="shared" si="343"/>
        <v>2.6195085924999879E-3</v>
      </c>
      <c r="L240" s="306">
        <v>14266</v>
      </c>
      <c r="M240" s="214">
        <f t="shared" si="344"/>
        <v>2.7801899867947798E-3</v>
      </c>
      <c r="N240" s="508">
        <v>12812</v>
      </c>
      <c r="O240" s="509">
        <f t="shared" si="354"/>
        <v>2.3584024345369371E-3</v>
      </c>
      <c r="P240" s="655">
        <v>13570</v>
      </c>
      <c r="Q240" s="356">
        <f t="shared" si="355"/>
        <v>2.3365181953126034E-3</v>
      </c>
      <c r="R240" s="508">
        <v>14185</v>
      </c>
      <c r="S240" s="509">
        <f t="shared" si="356"/>
        <v>2.6817527943826308E-3</v>
      </c>
      <c r="T240" s="355">
        <v>14316</v>
      </c>
      <c r="U240" s="356">
        <f t="shared" si="345"/>
        <v>2.944942170847788E-3</v>
      </c>
      <c r="V240" s="655">
        <v>11761</v>
      </c>
      <c r="W240" s="860">
        <f t="shared" si="357"/>
        <v>2.1829234543905233E-3</v>
      </c>
      <c r="X240" s="656">
        <v>13973</v>
      </c>
      <c r="Y240" s="860">
        <f t="shared" si="358"/>
        <v>2.5957345466204921E-3</v>
      </c>
      <c r="Z240" s="1084">
        <v>15000</v>
      </c>
      <c r="AA240" s="1050">
        <f t="shared" si="359"/>
        <v>3.0456852791878172E-3</v>
      </c>
      <c r="AB240" s="1144">
        <f t="shared" si="346"/>
        <v>250</v>
      </c>
      <c r="AC240" s="1136"/>
      <c r="AD240" s="557">
        <v>14491</v>
      </c>
      <c r="AE240" s="748">
        <f t="shared" si="360"/>
        <v>3.1830995011291646E-3</v>
      </c>
      <c r="AF240" s="978">
        <v>14750</v>
      </c>
      <c r="AG240" s="782">
        <f t="shared" si="362"/>
        <v>3.0991561890674375E-3</v>
      </c>
      <c r="AH240" s="1001">
        <f t="shared" si="347"/>
        <v>-259</v>
      </c>
      <c r="AI240" s="451">
        <f t="shared" si="348"/>
        <v>-1.7559322033898307E-2</v>
      </c>
      <c r="AJ240" s="1084">
        <v>14750</v>
      </c>
      <c r="AK240" s="1050">
        <f t="shared" si="363"/>
        <v>2.7570093457943926E-3</v>
      </c>
      <c r="AL240" s="840">
        <v>14750</v>
      </c>
      <c r="AM240" s="586">
        <f t="shared" si="364"/>
        <v>2.6339285714285714E-3</v>
      </c>
      <c r="AN240" s="978">
        <v>14750</v>
      </c>
      <c r="AO240" s="782">
        <f t="shared" si="365"/>
        <v>2.6339285714285714E-3</v>
      </c>
      <c r="AP240" s="450">
        <f>$AD240-(AL240*$AX$4)</f>
        <v>-259</v>
      </c>
      <c r="AQ240" s="451">
        <f t="shared" si="349"/>
        <v>-1.7559322033898307E-2</v>
      </c>
      <c r="AR240" s="1126">
        <v>14136</v>
      </c>
      <c r="AS240" s="748">
        <f t="shared" si="367"/>
        <v>2.9660832907913563E-3</v>
      </c>
      <c r="AT240" s="902">
        <v>14136</v>
      </c>
      <c r="AU240" s="748">
        <f t="shared" si="368"/>
        <v>2.6323899795624786E-3</v>
      </c>
      <c r="AV240" s="450">
        <f t="shared" si="350"/>
        <v>355</v>
      </c>
      <c r="AW240" s="452">
        <f t="shared" si="351"/>
        <v>2.5113186191284664E-2</v>
      </c>
      <c r="AX240" s="266" t="s">
        <v>330</v>
      </c>
    </row>
    <row r="241" spans="1:50" ht="18" hidden="1" customHeight="1" x14ac:dyDescent="0.25">
      <c r="A241" s="104">
        <v>13</v>
      </c>
      <c r="B241" s="107" t="s">
        <v>147</v>
      </c>
      <c r="C241" s="78" t="s">
        <v>240</v>
      </c>
      <c r="D241" s="56">
        <v>13696</v>
      </c>
      <c r="E241" s="57">
        <f t="shared" si="352"/>
        <v>2.6018068834524483E-3</v>
      </c>
      <c r="F241" s="167">
        <v>16294</v>
      </c>
      <c r="G241" s="166">
        <f t="shared" si="353"/>
        <v>3.1873217596817293E-3</v>
      </c>
      <c r="H241" s="126">
        <v>11097</v>
      </c>
      <c r="I241" s="57">
        <f t="shared" si="342"/>
        <v>2.034280103706672E-3</v>
      </c>
      <c r="J241" s="167">
        <v>10118</v>
      </c>
      <c r="K241" s="166">
        <f t="shared" si="343"/>
        <v>1.8106427065797839E-3</v>
      </c>
      <c r="L241" s="306">
        <v>10782</v>
      </c>
      <c r="M241" s="214">
        <f t="shared" si="344"/>
        <v>2.1012202746124573E-3</v>
      </c>
      <c r="N241" s="508">
        <v>8994</v>
      </c>
      <c r="O241" s="509">
        <f t="shared" si="354"/>
        <v>1.6555940911821116E-3</v>
      </c>
      <c r="P241" s="655">
        <v>9734</v>
      </c>
      <c r="Q241" s="356">
        <f t="shared" si="355"/>
        <v>1.6760256531446486E-3</v>
      </c>
      <c r="R241" s="508">
        <v>9043</v>
      </c>
      <c r="S241" s="509">
        <f t="shared" si="356"/>
        <v>1.7096292223899986E-3</v>
      </c>
      <c r="T241" s="355">
        <v>10370</v>
      </c>
      <c r="U241" s="356">
        <f t="shared" si="345"/>
        <v>2.133211114256186E-3</v>
      </c>
      <c r="V241" s="655">
        <v>9498</v>
      </c>
      <c r="W241" s="860">
        <f t="shared" si="357"/>
        <v>1.7628949043279646E-3</v>
      </c>
      <c r="X241" s="656">
        <v>9302</v>
      </c>
      <c r="Y241" s="860">
        <f t="shared" si="358"/>
        <v>1.7280127927190882E-3</v>
      </c>
      <c r="Z241" s="1084">
        <v>10000</v>
      </c>
      <c r="AA241" s="1050">
        <f t="shared" si="359"/>
        <v>2.0304568527918783E-3</v>
      </c>
      <c r="AB241" s="1144">
        <f t="shared" si="346"/>
        <v>0</v>
      </c>
      <c r="AC241" s="1136"/>
      <c r="AD241" s="557">
        <v>7842</v>
      </c>
      <c r="AE241" s="748">
        <f t="shared" si="360"/>
        <v>1.7225772057038789E-3</v>
      </c>
      <c r="AF241" s="978">
        <f t="shared" si="361"/>
        <v>8300</v>
      </c>
      <c r="AG241" s="782">
        <f t="shared" si="362"/>
        <v>1.743931957237948E-3</v>
      </c>
      <c r="AH241" s="1001">
        <f t="shared" si="347"/>
        <v>-458</v>
      </c>
      <c r="AI241" s="451">
        <f t="shared" si="348"/>
        <v>-5.5180722891566267E-2</v>
      </c>
      <c r="AJ241" s="1084">
        <v>10000</v>
      </c>
      <c r="AK241" s="1050">
        <f t="shared" si="363"/>
        <v>1.869158878504673E-3</v>
      </c>
      <c r="AL241" s="840">
        <v>10000</v>
      </c>
      <c r="AM241" s="586">
        <f t="shared" si="364"/>
        <v>1.7857142857142857E-3</v>
      </c>
      <c r="AN241" s="978">
        <v>10000</v>
      </c>
      <c r="AO241" s="782">
        <f t="shared" si="365"/>
        <v>1.7857142857142857E-3</v>
      </c>
      <c r="AP241" s="450">
        <f>$AD241-(AL241/12*$AX$1)</f>
        <v>-491.33333333333394</v>
      </c>
      <c r="AQ241" s="451">
        <f t="shared" si="349"/>
        <v>-4.9133333333333397E-2</v>
      </c>
      <c r="AR241" s="1126">
        <v>6970</v>
      </c>
      <c r="AS241" s="748">
        <f t="shared" si="367"/>
        <v>1.4624788155642157E-3</v>
      </c>
      <c r="AT241" s="902">
        <v>8314</v>
      </c>
      <c r="AU241" s="748">
        <f t="shared" si="368"/>
        <v>1.548223704731356E-3</v>
      </c>
      <c r="AV241" s="450">
        <f t="shared" si="350"/>
        <v>872</v>
      </c>
      <c r="AW241" s="452">
        <f t="shared" si="351"/>
        <v>0.12510760401721666</v>
      </c>
    </row>
    <row r="242" spans="1:50" ht="18" hidden="1" customHeight="1" x14ac:dyDescent="0.25">
      <c r="A242" s="104">
        <v>14</v>
      </c>
      <c r="B242" s="107" t="s">
        <v>148</v>
      </c>
      <c r="C242" s="78" t="s">
        <v>190</v>
      </c>
      <c r="D242" s="56">
        <v>20508</v>
      </c>
      <c r="E242" s="57">
        <f t="shared" si="352"/>
        <v>3.8958714636275413E-3</v>
      </c>
      <c r="F242" s="167">
        <v>15083</v>
      </c>
      <c r="G242" s="166">
        <f t="shared" si="353"/>
        <v>2.9504341537547273E-3</v>
      </c>
      <c r="H242" s="126">
        <v>17602</v>
      </c>
      <c r="I242" s="57">
        <f t="shared" si="342"/>
        <v>3.2267638447728976E-3</v>
      </c>
      <c r="J242" s="167">
        <v>12507</v>
      </c>
      <c r="K242" s="166">
        <f t="shared" si="343"/>
        <v>2.2381605387619447E-3</v>
      </c>
      <c r="L242" s="306">
        <v>10413</v>
      </c>
      <c r="M242" s="214">
        <f t="shared" si="344"/>
        <v>2.0293087293210459E-3</v>
      </c>
      <c r="N242" s="508">
        <v>8597</v>
      </c>
      <c r="O242" s="509">
        <f t="shared" si="354"/>
        <v>1.5825152770616647E-3</v>
      </c>
      <c r="P242" s="655">
        <v>10316</v>
      </c>
      <c r="Q242" s="356">
        <f t="shared" si="355"/>
        <v>1.7762359397822268E-3</v>
      </c>
      <c r="R242" s="508">
        <v>12402</v>
      </c>
      <c r="S242" s="509">
        <f t="shared" si="356"/>
        <v>2.3446667716555082E-3</v>
      </c>
      <c r="T242" s="355">
        <v>9940</v>
      </c>
      <c r="U242" s="356">
        <f t="shared" si="345"/>
        <v>2.0447558800102692E-3</v>
      </c>
      <c r="V242" s="655">
        <v>15207</v>
      </c>
      <c r="W242" s="860">
        <f t="shared" si="357"/>
        <v>2.8225250379148616E-3</v>
      </c>
      <c r="X242" s="656">
        <v>10570</v>
      </c>
      <c r="Y242" s="860">
        <f t="shared" si="358"/>
        <v>1.9635664608730124E-3</v>
      </c>
      <c r="Z242" s="1084">
        <v>9000</v>
      </c>
      <c r="AA242" s="1050">
        <f t="shared" si="359"/>
        <v>1.8274111675126903E-3</v>
      </c>
      <c r="AB242" s="1144">
        <f t="shared" si="346"/>
        <v>-1000</v>
      </c>
      <c r="AC242" s="1136"/>
      <c r="AD242" s="557">
        <v>8062</v>
      </c>
      <c r="AE242" s="748">
        <f t="shared" si="360"/>
        <v>1.7709025034920519E-3</v>
      </c>
      <c r="AF242" s="978">
        <f t="shared" si="361"/>
        <v>8300</v>
      </c>
      <c r="AG242" s="782">
        <f t="shared" si="362"/>
        <v>1.743931957237948E-3</v>
      </c>
      <c r="AH242" s="1001">
        <f t="shared" si="347"/>
        <v>-238</v>
      </c>
      <c r="AI242" s="451">
        <f t="shared" si="348"/>
        <v>-2.8674698795180722E-2</v>
      </c>
      <c r="AJ242" s="1084">
        <v>10000</v>
      </c>
      <c r="AK242" s="1050">
        <f t="shared" si="363"/>
        <v>1.869158878504673E-3</v>
      </c>
      <c r="AL242" s="840">
        <v>12000</v>
      </c>
      <c r="AM242" s="586">
        <f t="shared" si="364"/>
        <v>2.142857142857143E-3</v>
      </c>
      <c r="AN242" s="978">
        <v>12000</v>
      </c>
      <c r="AO242" s="782">
        <f t="shared" si="365"/>
        <v>2.142857142857143E-3</v>
      </c>
      <c r="AP242" s="450">
        <f>$AD242-(AL242/12*$AX$1)</f>
        <v>-1938</v>
      </c>
      <c r="AQ242" s="451">
        <f t="shared" si="349"/>
        <v>-0.1615</v>
      </c>
      <c r="AR242" s="1126">
        <v>10671</v>
      </c>
      <c r="AS242" s="748">
        <f t="shared" si="367"/>
        <v>2.2390403788932205E-3</v>
      </c>
      <c r="AT242" s="902">
        <v>11174</v>
      </c>
      <c r="AU242" s="748">
        <f t="shared" si="368"/>
        <v>2.0808096796569846E-3</v>
      </c>
      <c r="AV242" s="450">
        <f t="shared" si="350"/>
        <v>-2609</v>
      </c>
      <c r="AW242" s="452">
        <f t="shared" si="351"/>
        <v>-0.24449442414019304</v>
      </c>
    </row>
    <row r="243" spans="1:50" ht="18" hidden="1" customHeight="1" x14ac:dyDescent="0.25">
      <c r="A243" s="104">
        <v>15</v>
      </c>
      <c r="B243" s="107" t="s">
        <v>149</v>
      </c>
      <c r="C243" s="78" t="s">
        <v>191</v>
      </c>
      <c r="D243" s="56">
        <f>7702+692+2441+3250+2162+3243+4339+1081</f>
        <v>24910</v>
      </c>
      <c r="E243" s="57">
        <f t="shared" si="352"/>
        <v>4.7321122566297081E-3</v>
      </c>
      <c r="F243" s="167">
        <f>7500+582+2435+3197+2131+3287+4263+1066</f>
        <v>24461</v>
      </c>
      <c r="G243" s="166">
        <f t="shared" si="353"/>
        <v>4.7848949038649061E-3</v>
      </c>
      <c r="H243" s="126">
        <f>7193+324+2428+3078+2052+3078+4104+1026</f>
        <v>23283</v>
      </c>
      <c r="I243" s="57">
        <f t="shared" si="342"/>
        <v>4.2681935347032938E-3</v>
      </c>
      <c r="J243" s="167">
        <f>6929+234+2430+2962+1975+2962+3950+987</f>
        <v>22429</v>
      </c>
      <c r="K243" s="166">
        <f t="shared" si="343"/>
        <v>4.0137285299345696E-3</v>
      </c>
      <c r="L243" s="306">
        <f>6927+2430+2990+1979+2935+3913+978</f>
        <v>22152</v>
      </c>
      <c r="M243" s="214">
        <f t="shared" si="344"/>
        <v>4.3170313043234231E-3</v>
      </c>
      <c r="N243" s="508">
        <f>7162+2227+3085+2046+3070+4093+1023</f>
        <v>22706</v>
      </c>
      <c r="O243" s="509">
        <f t="shared" si="354"/>
        <v>4.1796663814077191E-3</v>
      </c>
      <c r="P243" s="655">
        <f>11480+1498+5780+4288+4706+7066+691+1124+1433</f>
        <v>38066</v>
      </c>
      <c r="Q243" s="356">
        <f t="shared" si="355"/>
        <v>6.5543037304914937E-3</v>
      </c>
      <c r="R243" s="508">
        <f>5402+4057+3528+5958+1152+2036+8350+1347</f>
        <v>31830</v>
      </c>
      <c r="S243" s="509">
        <f t="shared" si="356"/>
        <v>6.0176377472822796E-3</v>
      </c>
      <c r="T243" s="355">
        <f>5832+3986+3456+6376+1152+1802+7978+1407</f>
        <v>31989</v>
      </c>
      <c r="U243" s="356">
        <f t="shared" si="345"/>
        <v>6.5804522983549793E-3</v>
      </c>
      <c r="V243" s="655">
        <f>5851+4032+3457+6290+1152+2020+8254+1155</f>
        <v>32211</v>
      </c>
      <c r="W243" s="860">
        <f t="shared" si="357"/>
        <v>5.9785857826182426E-3</v>
      </c>
      <c r="X243" s="656">
        <f>5423+4032+3457+6365+1153+2186+8292+1155</f>
        <v>32063</v>
      </c>
      <c r="Y243" s="860">
        <f t="shared" si="358"/>
        <v>5.9562754432328667E-3</v>
      </c>
      <c r="Z243" s="1084">
        <v>10750</v>
      </c>
      <c r="AA243" s="1050">
        <f t="shared" si="359"/>
        <v>2.182741116751269E-3</v>
      </c>
      <c r="AB243" s="1144">
        <f t="shared" si="346"/>
        <v>-1250</v>
      </c>
      <c r="AC243" s="1136"/>
      <c r="AD243" s="557">
        <v>7733</v>
      </c>
      <c r="AE243" s="748">
        <f t="shared" si="360"/>
        <v>1.6986342172542841E-3</v>
      </c>
      <c r="AF243" s="978">
        <f t="shared" si="361"/>
        <v>9960</v>
      </c>
      <c r="AG243" s="782">
        <f t="shared" si="362"/>
        <v>2.0927183486855374E-3</v>
      </c>
      <c r="AH243" s="1001">
        <f t="shared" si="347"/>
        <v>-2227</v>
      </c>
      <c r="AI243" s="451">
        <f t="shared" si="348"/>
        <v>-0.22359437751004016</v>
      </c>
      <c r="AJ243" s="1084">
        <v>12000</v>
      </c>
      <c r="AK243" s="1050">
        <f t="shared" si="363"/>
        <v>2.2429906542056075E-3</v>
      </c>
      <c r="AL243" s="840">
        <v>15915</v>
      </c>
      <c r="AM243" s="586">
        <f t="shared" si="364"/>
        <v>2.8419642857142858E-3</v>
      </c>
      <c r="AN243" s="978">
        <v>15915</v>
      </c>
      <c r="AO243" s="782">
        <f t="shared" si="365"/>
        <v>2.8419642857142858E-3</v>
      </c>
      <c r="AP243" s="450">
        <f>$AD243-(AL243/12*$AX$1)</f>
        <v>-5529.5</v>
      </c>
      <c r="AQ243" s="451">
        <f t="shared" si="349"/>
        <v>-0.34743952246308513</v>
      </c>
      <c r="AR243" s="1032">
        <f>4428+3371+2795+5033+961+1874+6527+960</f>
        <v>25949</v>
      </c>
      <c r="AS243" s="748">
        <f t="shared" si="367"/>
        <v>5.4447435846593732E-3</v>
      </c>
      <c r="AT243" s="894">
        <f>5297+4043+3371+6093+1153+2261+7821+1152</f>
        <v>31191</v>
      </c>
      <c r="AU243" s="748">
        <f t="shared" si="368"/>
        <v>5.8083528475193318E-3</v>
      </c>
      <c r="AV243" s="450">
        <f t="shared" si="350"/>
        <v>-18216</v>
      </c>
      <c r="AW243" s="452">
        <f t="shared" si="351"/>
        <v>-0.70199236964815603</v>
      </c>
    </row>
    <row r="244" spans="1:50" ht="18" hidden="1" customHeight="1" x14ac:dyDescent="0.25">
      <c r="A244" s="104">
        <v>16</v>
      </c>
      <c r="B244" s="107" t="s">
        <v>150</v>
      </c>
      <c r="C244" s="78" t="s">
        <v>241</v>
      </c>
      <c r="D244" s="56">
        <v>32132</v>
      </c>
      <c r="E244" s="57">
        <f t="shared" si="352"/>
        <v>6.104063871137125E-3</v>
      </c>
      <c r="F244" s="167">
        <v>39436</v>
      </c>
      <c r="G244" s="166">
        <f t="shared" si="353"/>
        <v>7.7142028301711478E-3</v>
      </c>
      <c r="H244" s="126">
        <v>41999</v>
      </c>
      <c r="I244" s="57">
        <f t="shared" si="342"/>
        <v>7.6991736573467171E-3</v>
      </c>
      <c r="J244" s="167">
        <v>44279</v>
      </c>
      <c r="K244" s="166">
        <f t="shared" si="343"/>
        <v>7.9238434873143172E-3</v>
      </c>
      <c r="L244" s="306">
        <v>49528</v>
      </c>
      <c r="M244" s="214">
        <f t="shared" si="344"/>
        <v>9.6521274124472065E-3</v>
      </c>
      <c r="N244" s="508">
        <v>41541</v>
      </c>
      <c r="O244" s="509">
        <f t="shared" si="354"/>
        <v>7.6467683057367241E-3</v>
      </c>
      <c r="P244" s="655">
        <v>31670</v>
      </c>
      <c r="Q244" s="356">
        <f t="shared" si="355"/>
        <v>5.453023673216666E-3</v>
      </c>
      <c r="R244" s="508">
        <v>33283</v>
      </c>
      <c r="S244" s="509">
        <f t="shared" si="356"/>
        <v>6.2923354427519979E-3</v>
      </c>
      <c r="T244" s="355">
        <v>35731</v>
      </c>
      <c r="U244" s="356">
        <f t="shared" si="345"/>
        <v>7.3502185461415412E-3</v>
      </c>
      <c r="V244" s="655">
        <v>33822</v>
      </c>
      <c r="W244" s="860">
        <f t="shared" si="357"/>
        <v>6.2775985948810712E-3</v>
      </c>
      <c r="X244" s="656">
        <v>29892</v>
      </c>
      <c r="Y244" s="860">
        <f t="shared" si="358"/>
        <v>5.552973382063963E-3</v>
      </c>
      <c r="Z244" s="1084">
        <v>31500</v>
      </c>
      <c r="AA244" s="1050">
        <f t="shared" si="359"/>
        <v>6.3959390862944158E-3</v>
      </c>
      <c r="AB244" s="1144">
        <f t="shared" si="346"/>
        <v>1500</v>
      </c>
      <c r="AC244" s="1136"/>
      <c r="AD244" s="557">
        <v>30235</v>
      </c>
      <c r="AE244" s="748">
        <f t="shared" si="360"/>
        <v>6.6414335392064238E-3</v>
      </c>
      <c r="AF244" s="978">
        <v>30000</v>
      </c>
      <c r="AG244" s="782">
        <f t="shared" si="362"/>
        <v>6.3033685201371609E-3</v>
      </c>
      <c r="AH244" s="1001">
        <f t="shared" si="347"/>
        <v>235</v>
      </c>
      <c r="AI244" s="451">
        <f t="shared" si="348"/>
        <v>7.8333333333333328E-3</v>
      </c>
      <c r="AJ244" s="1084">
        <v>30000</v>
      </c>
      <c r="AK244" s="1050">
        <f t="shared" si="363"/>
        <v>5.6074766355140183E-3</v>
      </c>
      <c r="AL244" s="840">
        <v>30000</v>
      </c>
      <c r="AM244" s="586">
        <f t="shared" si="364"/>
        <v>5.3571428571428572E-3</v>
      </c>
      <c r="AN244" s="978">
        <v>30000</v>
      </c>
      <c r="AO244" s="782">
        <f t="shared" si="365"/>
        <v>5.3571428571428572E-3</v>
      </c>
      <c r="AP244" s="450">
        <f>$AD244-(AL244*$AX$7)</f>
        <v>10135</v>
      </c>
      <c r="AQ244" s="451">
        <f t="shared" si="349"/>
        <v>0.33783333333333332</v>
      </c>
      <c r="AR244" s="1127">
        <v>30339</v>
      </c>
      <c r="AS244" s="748">
        <f t="shared" si="367"/>
        <v>6.3658744311912109E-3</v>
      </c>
      <c r="AT244" s="902">
        <v>30339</v>
      </c>
      <c r="AU244" s="748">
        <f t="shared" si="368"/>
        <v>5.649694368275753E-3</v>
      </c>
      <c r="AV244" s="450">
        <f t="shared" si="350"/>
        <v>-104</v>
      </c>
      <c r="AW244" s="452">
        <f t="shared" si="351"/>
        <v>-3.4279310458485779E-3</v>
      </c>
      <c r="AX244" s="266" t="s">
        <v>330</v>
      </c>
    </row>
    <row r="245" spans="1:50" ht="18" hidden="1" customHeight="1" x14ac:dyDescent="0.25">
      <c r="A245" s="104">
        <v>17</v>
      </c>
      <c r="B245" s="107" t="s">
        <v>151</v>
      </c>
      <c r="C245" s="78" t="s">
        <v>192</v>
      </c>
      <c r="D245" s="56">
        <f>7802+2884</f>
        <v>10686</v>
      </c>
      <c r="E245" s="57">
        <f t="shared" si="352"/>
        <v>2.030002070427341E-3</v>
      </c>
      <c r="F245" s="167">
        <f>5776+1508</f>
        <v>7284</v>
      </c>
      <c r="G245" s="166">
        <f t="shared" si="353"/>
        <v>1.4248466734700944E-3</v>
      </c>
      <c r="H245" s="126">
        <f>5443+3371</f>
        <v>8814</v>
      </c>
      <c r="I245" s="57">
        <f t="shared" si="342"/>
        <v>1.6157650566883488E-3</v>
      </c>
      <c r="J245" s="167">
        <f>6809+3091</f>
        <v>9900</v>
      </c>
      <c r="K245" s="166">
        <f t="shared" si="343"/>
        <v>1.7716310333208006E-3</v>
      </c>
      <c r="L245" s="306">
        <f>2942+666</f>
        <v>3608</v>
      </c>
      <c r="M245" s="214">
        <f t="shared" si="344"/>
        <v>7.0313510951602171E-4</v>
      </c>
      <c r="N245" s="510">
        <v>4447</v>
      </c>
      <c r="O245" s="509">
        <f t="shared" si="354"/>
        <v>8.1859316471946295E-4</v>
      </c>
      <c r="P245" s="656">
        <v>5669</v>
      </c>
      <c r="Q245" s="356">
        <f t="shared" si="355"/>
        <v>9.7610329028939937E-4</v>
      </c>
      <c r="R245" s="510">
        <f>6403+122</f>
        <v>6525</v>
      </c>
      <c r="S245" s="509">
        <f t="shared" si="356"/>
        <v>1.2335873798622957E-3</v>
      </c>
      <c r="T245" s="357">
        <v>5450</v>
      </c>
      <c r="U245" s="356">
        <f t="shared" si="345"/>
        <v>1.121118666605228E-3</v>
      </c>
      <c r="V245" s="656">
        <v>4014</v>
      </c>
      <c r="W245" s="860">
        <f t="shared" si="357"/>
        <v>7.4502633669956307E-4</v>
      </c>
      <c r="X245" s="656">
        <v>4174</v>
      </c>
      <c r="Y245" s="860">
        <f t="shared" si="358"/>
        <v>7.7539511898618301E-4</v>
      </c>
      <c r="Z245" s="1084">
        <v>5000</v>
      </c>
      <c r="AA245" s="1050">
        <f t="shared" si="359"/>
        <v>1.0152284263959391E-3</v>
      </c>
      <c r="AB245" s="1144">
        <f t="shared" si="346"/>
        <v>0</v>
      </c>
      <c r="AC245" s="1136"/>
      <c r="AD245" s="557">
        <v>4796</v>
      </c>
      <c r="AE245" s="748">
        <f t="shared" si="360"/>
        <v>1.0534914917821733E-3</v>
      </c>
      <c r="AF245" s="978">
        <f t="shared" si="361"/>
        <v>4150</v>
      </c>
      <c r="AG245" s="782">
        <f t="shared" si="362"/>
        <v>8.7196597861897399E-4</v>
      </c>
      <c r="AH245" s="1001">
        <f t="shared" si="347"/>
        <v>646</v>
      </c>
      <c r="AI245" s="451">
        <f t="shared" si="348"/>
        <v>0.15566265060240964</v>
      </c>
      <c r="AJ245" s="1084">
        <v>5000</v>
      </c>
      <c r="AK245" s="1050">
        <f t="shared" si="363"/>
        <v>9.3457943925233649E-4</v>
      </c>
      <c r="AL245" s="840">
        <v>4000</v>
      </c>
      <c r="AM245" s="586">
        <f t="shared" si="364"/>
        <v>7.1428571428571429E-4</v>
      </c>
      <c r="AN245" s="978">
        <v>4000</v>
      </c>
      <c r="AO245" s="782">
        <f t="shared" si="365"/>
        <v>7.1428571428571429E-4</v>
      </c>
      <c r="AP245" s="450">
        <f t="shared" ref="AP245:AP252" si="369">$AD245-(AL245/12*$AX$1)</f>
        <v>1462.666666666667</v>
      </c>
      <c r="AQ245" s="451">
        <f t="shared" si="349"/>
        <v>0.36566666666666675</v>
      </c>
      <c r="AR245" s="1127">
        <v>3782</v>
      </c>
      <c r="AS245" s="748">
        <f t="shared" si="367"/>
        <v>7.9355737165909095E-4</v>
      </c>
      <c r="AT245" s="902">
        <v>4114</v>
      </c>
      <c r="AU245" s="748">
        <f t="shared" si="368"/>
        <v>7.6610444085455835E-4</v>
      </c>
      <c r="AV245" s="450">
        <f t="shared" si="350"/>
        <v>1014</v>
      </c>
      <c r="AW245" s="452">
        <f t="shared" si="351"/>
        <v>0.2681121099947118</v>
      </c>
    </row>
    <row r="246" spans="1:50" ht="18" hidden="1" customHeight="1" x14ac:dyDescent="0.25">
      <c r="A246" s="104">
        <v>18</v>
      </c>
      <c r="B246" s="107" t="s">
        <v>152</v>
      </c>
      <c r="C246" s="78" t="s">
        <v>364</v>
      </c>
      <c r="D246" s="56">
        <v>17925</v>
      </c>
      <c r="E246" s="57">
        <f t="shared" si="352"/>
        <v>3.4051831473339029E-3</v>
      </c>
      <c r="F246" s="167">
        <v>13640</v>
      </c>
      <c r="G246" s="166">
        <f t="shared" si="353"/>
        <v>2.6681642814569036E-3</v>
      </c>
      <c r="H246" s="126">
        <v>11698</v>
      </c>
      <c r="I246" s="57">
        <f t="shared" si="342"/>
        <v>2.1444542356637516E-3</v>
      </c>
      <c r="J246" s="167">
        <v>13166</v>
      </c>
      <c r="K246" s="166">
        <f t="shared" si="343"/>
        <v>2.3560903216870367E-3</v>
      </c>
      <c r="L246" s="306">
        <v>5085</v>
      </c>
      <c r="M246" s="214">
        <f t="shared" si="344"/>
        <v>9.9097617291822896E-4</v>
      </c>
      <c r="N246" s="508">
        <v>9702</v>
      </c>
      <c r="O246" s="509">
        <f t="shared" si="354"/>
        <v>1.7859210443238653E-3</v>
      </c>
      <c r="P246" s="655">
        <v>18919</v>
      </c>
      <c r="Q246" s="356">
        <f t="shared" si="355"/>
        <v>3.257523046213644E-3</v>
      </c>
      <c r="R246" s="508">
        <v>6852</v>
      </c>
      <c r="S246" s="509">
        <f t="shared" si="356"/>
        <v>1.2954085405082682E-3</v>
      </c>
      <c r="T246" s="355">
        <v>806</v>
      </c>
      <c r="U246" s="356">
        <f t="shared" si="345"/>
        <v>1.6580213674932364E-4</v>
      </c>
      <c r="V246" s="655">
        <v>8250</v>
      </c>
      <c r="W246" s="860">
        <f t="shared" si="357"/>
        <v>1.5312574184781751E-3</v>
      </c>
      <c r="X246" s="656">
        <v>6728</v>
      </c>
      <c r="Y246" s="860">
        <f t="shared" si="358"/>
        <v>1.2498462770817054E-3</v>
      </c>
      <c r="Z246" s="1084">
        <v>7500</v>
      </c>
      <c r="AA246" s="1050">
        <f t="shared" si="359"/>
        <v>1.5228426395939086E-3</v>
      </c>
      <c r="AB246" s="1144">
        <f t="shared" si="346"/>
        <v>-1000</v>
      </c>
      <c r="AC246" s="1136"/>
      <c r="AD246" s="557">
        <v>5234</v>
      </c>
      <c r="AE246" s="748">
        <f t="shared" si="360"/>
        <v>1.1497027664695361E-3</v>
      </c>
      <c r="AF246" s="978">
        <v>5000</v>
      </c>
      <c r="AG246" s="782">
        <f t="shared" si="362"/>
        <v>1.0505614200228602E-3</v>
      </c>
      <c r="AH246" s="1001">
        <f t="shared" si="347"/>
        <v>234</v>
      </c>
      <c r="AI246" s="451">
        <f t="shared" si="348"/>
        <v>4.6800000000000001E-2</v>
      </c>
      <c r="AJ246" s="1084">
        <v>8500</v>
      </c>
      <c r="AK246" s="1050">
        <f t="shared" si="363"/>
        <v>1.5887850467289719E-3</v>
      </c>
      <c r="AL246" s="840">
        <v>8500</v>
      </c>
      <c r="AM246" s="586">
        <f t="shared" si="364"/>
        <v>1.5178571428571428E-3</v>
      </c>
      <c r="AN246" s="978">
        <v>8500</v>
      </c>
      <c r="AO246" s="782">
        <f t="shared" si="365"/>
        <v>1.5178571428571428E-3</v>
      </c>
      <c r="AP246" s="1001">
        <f>$AD246-(AL246*$AX$6)</f>
        <v>5234</v>
      </c>
      <c r="AQ246" s="451">
        <f t="shared" si="349"/>
        <v>0.61576470588235299</v>
      </c>
      <c r="AR246" s="1127">
        <v>7593</v>
      </c>
      <c r="AS246" s="748">
        <f t="shared" si="367"/>
        <v>1.5931996623499412E-3</v>
      </c>
      <c r="AT246" s="902">
        <v>13726</v>
      </c>
      <c r="AU246" s="748">
        <f t="shared" si="368"/>
        <v>2.5560402418983151E-3</v>
      </c>
      <c r="AV246" s="450">
        <f t="shared" si="350"/>
        <v>-2359</v>
      </c>
      <c r="AW246" s="452">
        <f t="shared" si="351"/>
        <v>-0.31068089029369156</v>
      </c>
    </row>
    <row r="247" spans="1:50" ht="18" hidden="1" customHeight="1" x14ac:dyDescent="0.25">
      <c r="A247" s="104">
        <v>19</v>
      </c>
      <c r="B247" s="107" t="s">
        <v>153</v>
      </c>
      <c r="C247" s="78" t="s">
        <v>248</v>
      </c>
      <c r="D247" s="56">
        <v>3052</v>
      </c>
      <c r="E247" s="57">
        <f t="shared" si="352"/>
        <v>5.7978348483475996E-4</v>
      </c>
      <c r="F247" s="167">
        <v>2159</v>
      </c>
      <c r="G247" s="166">
        <f t="shared" si="353"/>
        <v>4.2232893575259935E-4</v>
      </c>
      <c r="H247" s="126">
        <v>2660</v>
      </c>
      <c r="I247" s="57">
        <f t="shared" si="342"/>
        <v>4.8762594177342958E-4</v>
      </c>
      <c r="J247" s="167">
        <v>2794</v>
      </c>
      <c r="K247" s="166">
        <f t="shared" si="343"/>
        <v>4.9999364718164823E-4</v>
      </c>
      <c r="L247" s="306">
        <v>2524</v>
      </c>
      <c r="M247" s="214">
        <f t="shared" si="344"/>
        <v>4.9188276508271584E-4</v>
      </c>
      <c r="N247" s="508">
        <v>2632</v>
      </c>
      <c r="O247" s="509">
        <f t="shared" si="354"/>
        <v>4.8449228908064456E-4</v>
      </c>
      <c r="P247" s="655">
        <v>3628</v>
      </c>
      <c r="Q247" s="356">
        <f t="shared" si="355"/>
        <v>6.2467855656552147E-4</v>
      </c>
      <c r="R247" s="508">
        <v>5044</v>
      </c>
      <c r="S247" s="509">
        <f t="shared" si="356"/>
        <v>9.5359612935255473E-4</v>
      </c>
      <c r="T247" s="355">
        <v>1926</v>
      </c>
      <c r="U247" s="356">
        <f t="shared" si="345"/>
        <v>3.9619716548287506E-4</v>
      </c>
      <c r="V247" s="655">
        <v>1024</v>
      </c>
      <c r="W247" s="860">
        <f t="shared" si="357"/>
        <v>1.9006152685110926E-4</v>
      </c>
      <c r="X247" s="656">
        <v>1950</v>
      </c>
      <c r="Y247" s="860">
        <f t="shared" si="358"/>
        <v>3.6224736033135043E-4</v>
      </c>
      <c r="Z247" s="1084">
        <v>3000</v>
      </c>
      <c r="AA247" s="1050">
        <f t="shared" si="359"/>
        <v>6.0913705583756346E-4</v>
      </c>
      <c r="AB247" s="1144">
        <f t="shared" si="346"/>
        <v>-250</v>
      </c>
      <c r="AC247" s="1136"/>
      <c r="AD247" s="557">
        <v>2513</v>
      </c>
      <c r="AE247" s="748">
        <f t="shared" si="360"/>
        <v>5.5200669700763169E-4</v>
      </c>
      <c r="AF247" s="978">
        <f t="shared" si="361"/>
        <v>2697.5</v>
      </c>
      <c r="AG247" s="782">
        <f t="shared" si="362"/>
        <v>5.6677788610233308E-4</v>
      </c>
      <c r="AH247" s="1001">
        <f t="shared" si="347"/>
        <v>-184.5</v>
      </c>
      <c r="AI247" s="451">
        <f t="shared" si="348"/>
        <v>-6.8396663577386468E-2</v>
      </c>
      <c r="AJ247" s="1084">
        <v>3250</v>
      </c>
      <c r="AK247" s="1050">
        <f t="shared" si="363"/>
        <v>6.0747663551401871E-4</v>
      </c>
      <c r="AL247" s="840">
        <v>2000</v>
      </c>
      <c r="AM247" s="586">
        <f t="shared" si="364"/>
        <v>3.5714285714285714E-4</v>
      </c>
      <c r="AN247" s="978">
        <v>2000</v>
      </c>
      <c r="AO247" s="782">
        <f t="shared" si="365"/>
        <v>3.5714285714285714E-4</v>
      </c>
      <c r="AP247" s="450">
        <f t="shared" si="369"/>
        <v>846.33333333333348</v>
      </c>
      <c r="AQ247" s="451">
        <f t="shared" si="349"/>
        <v>0.42316666666666675</v>
      </c>
      <c r="AR247" s="1127">
        <v>2487</v>
      </c>
      <c r="AS247" s="748">
        <f t="shared" si="367"/>
        <v>5.2183426317190884E-4</v>
      </c>
      <c r="AT247" s="902">
        <v>2630</v>
      </c>
      <c r="AU247" s="748">
        <f t="shared" si="368"/>
        <v>4.8975563428475658E-4</v>
      </c>
      <c r="AV247" s="450">
        <f t="shared" si="350"/>
        <v>26</v>
      </c>
      <c r="AW247" s="452">
        <f t="shared" si="351"/>
        <v>1.0454362685967028E-2</v>
      </c>
    </row>
    <row r="248" spans="1:50" ht="18" hidden="1" customHeight="1" x14ac:dyDescent="0.25">
      <c r="A248" s="104">
        <v>20</v>
      </c>
      <c r="B248" s="107" t="s">
        <v>154</v>
      </c>
      <c r="C248" s="78" t="s">
        <v>287</v>
      </c>
      <c r="D248" s="56">
        <v>1467</v>
      </c>
      <c r="E248" s="57">
        <f t="shared" si="352"/>
        <v>2.7868360820858219E-4</v>
      </c>
      <c r="F248" s="167">
        <v>350</v>
      </c>
      <c r="G248" s="166">
        <f t="shared" si="353"/>
        <v>6.8464625990463079E-5</v>
      </c>
      <c r="H248" s="126">
        <v>1493</v>
      </c>
      <c r="I248" s="57">
        <f t="shared" si="342"/>
        <v>2.7369380867207904E-4</v>
      </c>
      <c r="J248" s="167">
        <v>999</v>
      </c>
      <c r="K248" s="166">
        <f t="shared" si="343"/>
        <v>1.7877367699873533E-4</v>
      </c>
      <c r="L248" s="306">
        <v>516</v>
      </c>
      <c r="M248" s="214">
        <f t="shared" si="344"/>
        <v>1.0055923406603858E-4</v>
      </c>
      <c r="N248" s="508">
        <v>598</v>
      </c>
      <c r="O248" s="509">
        <f t="shared" si="354"/>
        <v>1.100784152242498E-4</v>
      </c>
      <c r="P248" s="655">
        <v>760</v>
      </c>
      <c r="Q248" s="356">
        <f t="shared" si="355"/>
        <v>1.3085879354735288E-4</v>
      </c>
      <c r="R248" s="508">
        <v>1508</v>
      </c>
      <c r="S248" s="509">
        <f t="shared" si="356"/>
        <v>2.8509575001261947E-4</v>
      </c>
      <c r="T248" s="355">
        <v>727</v>
      </c>
      <c r="U248" s="356">
        <f t="shared" si="345"/>
        <v>1.4955105882972491E-4</v>
      </c>
      <c r="V248" s="655">
        <v>614</v>
      </c>
      <c r="W248" s="860">
        <f t="shared" si="357"/>
        <v>1.1396267332673934E-4</v>
      </c>
      <c r="X248" s="656">
        <v>43</v>
      </c>
      <c r="Y248" s="860">
        <f t="shared" si="358"/>
        <v>7.9880187149990096E-6</v>
      </c>
      <c r="Z248" s="1084">
        <v>250</v>
      </c>
      <c r="AA248" s="1050">
        <f t="shared" si="359"/>
        <v>5.0761421319796953E-5</v>
      </c>
      <c r="AB248" s="1144">
        <f t="shared" si="346"/>
        <v>50</v>
      </c>
      <c r="AC248" s="1136"/>
      <c r="AD248" s="557">
        <v>260</v>
      </c>
      <c r="AE248" s="748">
        <f t="shared" si="360"/>
        <v>5.7111715567840918E-5</v>
      </c>
      <c r="AF248" s="978">
        <f t="shared" si="361"/>
        <v>166</v>
      </c>
      <c r="AG248" s="782">
        <f t="shared" si="362"/>
        <v>3.4878639144758962E-5</v>
      </c>
      <c r="AH248" s="1001">
        <f t="shared" si="347"/>
        <v>94</v>
      </c>
      <c r="AI248" s="451">
        <f t="shared" si="348"/>
        <v>0.5662650602409639</v>
      </c>
      <c r="AJ248" s="1084">
        <v>200</v>
      </c>
      <c r="AK248" s="1050">
        <f t="shared" si="363"/>
        <v>3.738317757009346E-5</v>
      </c>
      <c r="AL248" s="840">
        <v>1000</v>
      </c>
      <c r="AM248" s="586">
        <f t="shared" si="364"/>
        <v>1.7857142857142857E-4</v>
      </c>
      <c r="AN248" s="978">
        <v>1000</v>
      </c>
      <c r="AO248" s="782">
        <f t="shared" si="365"/>
        <v>1.7857142857142857E-4</v>
      </c>
      <c r="AP248" s="450">
        <f t="shared" si="369"/>
        <v>-573.33333333333326</v>
      </c>
      <c r="AQ248" s="451">
        <f t="shared" si="349"/>
        <v>-0.57333333333333325</v>
      </c>
      <c r="AR248" s="1127">
        <v>418</v>
      </c>
      <c r="AS248" s="748">
        <f t="shared" si="367"/>
        <v>8.7706763975013219E-5</v>
      </c>
      <c r="AT248" s="902">
        <f>4971-4412</f>
        <v>559</v>
      </c>
      <c r="AU248" s="748">
        <f t="shared" si="368"/>
        <v>1.0409634964455472E-4</v>
      </c>
      <c r="AV248" s="450">
        <f t="shared" si="350"/>
        <v>-158</v>
      </c>
      <c r="AW248" s="452">
        <f t="shared" si="351"/>
        <v>-0.37799043062200954</v>
      </c>
    </row>
    <row r="249" spans="1:50" ht="18" hidden="1" customHeight="1" x14ac:dyDescent="0.25">
      <c r="A249" s="104">
        <v>21</v>
      </c>
      <c r="B249" s="107" t="s">
        <v>155</v>
      </c>
      <c r="C249" s="78" t="s">
        <v>229</v>
      </c>
      <c r="D249" s="56">
        <v>41950</v>
      </c>
      <c r="E249" s="57">
        <f t="shared" si="352"/>
        <v>7.9691733908316444E-3</v>
      </c>
      <c r="F249" s="167">
        <v>37797</v>
      </c>
      <c r="G249" s="166">
        <f t="shared" si="353"/>
        <v>7.3935927673186653E-3</v>
      </c>
      <c r="H249" s="126">
        <v>35257</v>
      </c>
      <c r="I249" s="57">
        <f t="shared" si="342"/>
        <v>6.4632435447766184E-3</v>
      </c>
      <c r="J249" s="167">
        <v>38747</v>
      </c>
      <c r="K249" s="166">
        <f t="shared" si="343"/>
        <v>6.9338775402102088E-3</v>
      </c>
      <c r="L249" s="306">
        <v>35620</v>
      </c>
      <c r="M249" s="214">
        <f t="shared" si="344"/>
        <v>6.9417052663416547E-3</v>
      </c>
      <c r="N249" s="508">
        <v>46400</v>
      </c>
      <c r="O249" s="509">
        <f t="shared" si="354"/>
        <v>8.5412014488381108E-3</v>
      </c>
      <c r="P249" s="655">
        <v>40009</v>
      </c>
      <c r="Q249" s="356">
        <f t="shared" si="355"/>
        <v>6.8888545671526866E-3</v>
      </c>
      <c r="R249" s="508">
        <v>45552</v>
      </c>
      <c r="S249" s="509">
        <f t="shared" si="356"/>
        <v>8.6118578279674018E-3</v>
      </c>
      <c r="T249" s="355">
        <v>38277</v>
      </c>
      <c r="U249" s="356">
        <f t="shared" si="345"/>
        <v>7.8739558168162034E-3</v>
      </c>
      <c r="V249" s="655">
        <v>40493</v>
      </c>
      <c r="W249" s="860">
        <f t="shared" si="357"/>
        <v>7.5157826238105149E-3</v>
      </c>
      <c r="X249" s="656">
        <v>29268</v>
      </c>
      <c r="Y249" s="860">
        <f t="shared" si="358"/>
        <v>5.4370542267579303E-3</v>
      </c>
      <c r="Z249" s="1084">
        <v>37000</v>
      </c>
      <c r="AA249" s="1050">
        <f t="shared" si="359"/>
        <v>7.5126903553299493E-3</v>
      </c>
      <c r="AB249" s="1144">
        <f t="shared" si="346"/>
        <v>3000</v>
      </c>
      <c r="AC249" s="1136"/>
      <c r="AD249" s="557">
        <v>32988</v>
      </c>
      <c r="AE249" s="748">
        <f t="shared" si="360"/>
        <v>7.2461587428920629E-3</v>
      </c>
      <c r="AF249" s="978">
        <f t="shared" si="361"/>
        <v>28220</v>
      </c>
      <c r="AG249" s="782">
        <f t="shared" si="362"/>
        <v>5.9293686546090232E-3</v>
      </c>
      <c r="AH249" s="1001">
        <f t="shared" si="347"/>
        <v>4768</v>
      </c>
      <c r="AI249" s="451">
        <f t="shared" si="348"/>
        <v>0.16895818568391213</v>
      </c>
      <c r="AJ249" s="1084">
        <v>34000</v>
      </c>
      <c r="AK249" s="1050">
        <f t="shared" si="363"/>
        <v>6.3551401869158877E-3</v>
      </c>
      <c r="AL249" s="840">
        <v>32500</v>
      </c>
      <c r="AM249" s="586">
        <f t="shared" si="364"/>
        <v>5.8035714285714288E-3</v>
      </c>
      <c r="AN249" s="978">
        <v>32500</v>
      </c>
      <c r="AO249" s="782">
        <f t="shared" si="365"/>
        <v>5.8035714285714288E-3</v>
      </c>
      <c r="AP249" s="450">
        <f t="shared" si="369"/>
        <v>5904.6666666666642</v>
      </c>
      <c r="AQ249" s="451">
        <f t="shared" si="349"/>
        <v>0.1816820512820512</v>
      </c>
      <c r="AR249" s="1127">
        <v>28973</v>
      </c>
      <c r="AS249" s="748">
        <f t="shared" si="367"/>
        <v>6.0792537623159289E-3</v>
      </c>
      <c r="AT249" s="902">
        <v>51480</v>
      </c>
      <c r="AU249" s="748">
        <f t="shared" si="368"/>
        <v>9.5865475486613186E-3</v>
      </c>
      <c r="AV249" s="450">
        <f t="shared" si="350"/>
        <v>4015</v>
      </c>
      <c r="AW249" s="452">
        <f t="shared" si="351"/>
        <v>0.13857729610326855</v>
      </c>
    </row>
    <row r="250" spans="1:50" ht="18" hidden="1" customHeight="1" x14ac:dyDescent="0.25">
      <c r="A250" s="104">
        <v>22</v>
      </c>
      <c r="B250" s="107" t="s">
        <v>156</v>
      </c>
      <c r="C250" s="78" t="s">
        <v>193</v>
      </c>
      <c r="D250" s="56">
        <f>8752+190</f>
        <v>8942</v>
      </c>
      <c r="E250" s="57">
        <f t="shared" si="352"/>
        <v>1.6986972219503352E-3</v>
      </c>
      <c r="F250" s="167">
        <v>2822</v>
      </c>
      <c r="G250" s="166">
        <f t="shared" si="353"/>
        <v>5.5202049870024794E-4</v>
      </c>
      <c r="H250" s="126">
        <v>9983</v>
      </c>
      <c r="I250" s="57">
        <f t="shared" si="342"/>
        <v>1.8300638258361456E-3</v>
      </c>
      <c r="J250" s="167">
        <v>6489</v>
      </c>
      <c r="K250" s="166">
        <f t="shared" si="343"/>
        <v>1.161223613658452E-3</v>
      </c>
      <c r="L250" s="306">
        <v>10703</v>
      </c>
      <c r="M250" s="214">
        <f t="shared" si="344"/>
        <v>2.0858245779240519E-3</v>
      </c>
      <c r="N250" s="508">
        <v>3379</v>
      </c>
      <c r="O250" s="509">
        <f t="shared" si="354"/>
        <v>6.219982693022409E-4</v>
      </c>
      <c r="P250" s="655">
        <v>8629</v>
      </c>
      <c r="Q250" s="356">
        <f t="shared" si="355"/>
        <v>1.4857638546317213E-3</v>
      </c>
      <c r="R250" s="508">
        <v>12136</v>
      </c>
      <c r="S250" s="509">
        <f t="shared" si="356"/>
        <v>2.2943779987752984E-3</v>
      </c>
      <c r="T250" s="355">
        <f>9482+90</f>
        <v>9572</v>
      </c>
      <c r="U250" s="356">
        <f t="shared" si="345"/>
        <v>1.9690546562835306E-3</v>
      </c>
      <c r="V250" s="655">
        <v>10146</v>
      </c>
      <c r="W250" s="860">
        <f t="shared" si="357"/>
        <v>1.883168214288432E-3</v>
      </c>
      <c r="X250" s="656">
        <v>7425</v>
      </c>
      <c r="Y250" s="860">
        <f t="shared" si="358"/>
        <v>1.3793264874155267E-3</v>
      </c>
      <c r="Z250" s="1084">
        <v>7000</v>
      </c>
      <c r="AA250" s="1050">
        <f t="shared" si="359"/>
        <v>1.4213197969543147E-3</v>
      </c>
      <c r="AB250" s="1144">
        <f t="shared" si="346"/>
        <v>-500</v>
      </c>
      <c r="AC250" s="1136"/>
      <c r="AD250" s="557">
        <v>5504</v>
      </c>
      <c r="AE250" s="748">
        <f t="shared" si="360"/>
        <v>1.2090110864822938E-3</v>
      </c>
      <c r="AF250" s="978">
        <f t="shared" si="361"/>
        <v>6225</v>
      </c>
      <c r="AG250" s="782">
        <f t="shared" si="362"/>
        <v>1.3079489679284609E-3</v>
      </c>
      <c r="AH250" s="1001">
        <f t="shared" si="347"/>
        <v>-721</v>
      </c>
      <c r="AI250" s="451">
        <f t="shared" si="348"/>
        <v>-0.11582329317269076</v>
      </c>
      <c r="AJ250" s="1084">
        <v>7500</v>
      </c>
      <c r="AK250" s="1050">
        <f t="shared" si="363"/>
        <v>1.4018691588785046E-3</v>
      </c>
      <c r="AL250" s="840">
        <v>9500</v>
      </c>
      <c r="AM250" s="586">
        <f t="shared" si="364"/>
        <v>1.6964285714285714E-3</v>
      </c>
      <c r="AN250" s="978">
        <v>9500</v>
      </c>
      <c r="AO250" s="782">
        <f t="shared" si="365"/>
        <v>1.6964285714285714E-3</v>
      </c>
      <c r="AP250" s="450">
        <f t="shared" si="369"/>
        <v>-2412.6666666666661</v>
      </c>
      <c r="AQ250" s="451">
        <f t="shared" si="349"/>
        <v>-0.25396491228070167</v>
      </c>
      <c r="AR250" s="1127">
        <v>7262</v>
      </c>
      <c r="AS250" s="748">
        <f t="shared" si="367"/>
        <v>1.5237476554702059E-3</v>
      </c>
      <c r="AT250" s="902">
        <v>8265</v>
      </c>
      <c r="AU250" s="748">
        <f t="shared" si="368"/>
        <v>1.5390989799861268E-3</v>
      </c>
      <c r="AV250" s="450">
        <f t="shared" si="350"/>
        <v>-1758</v>
      </c>
      <c r="AW250" s="452">
        <f t="shared" si="351"/>
        <v>-0.24208207105480584</v>
      </c>
    </row>
    <row r="251" spans="1:50" ht="18" hidden="1" customHeight="1" x14ac:dyDescent="0.25">
      <c r="A251" s="104">
        <v>23</v>
      </c>
      <c r="B251" s="107" t="s">
        <v>157</v>
      </c>
      <c r="C251" s="78" t="s">
        <v>194</v>
      </c>
      <c r="D251" s="56">
        <v>1471</v>
      </c>
      <c r="E251" s="57">
        <f t="shared" si="352"/>
        <v>2.7944348171426336E-4</v>
      </c>
      <c r="F251" s="167">
        <v>4014</v>
      </c>
      <c r="G251" s="166">
        <f t="shared" si="353"/>
        <v>7.851914535020537E-4</v>
      </c>
      <c r="H251" s="126">
        <v>1908</v>
      </c>
      <c r="I251" s="57">
        <f t="shared" si="342"/>
        <v>3.49770788309663E-4</v>
      </c>
      <c r="J251" s="167">
        <v>2293</v>
      </c>
      <c r="K251" s="166">
        <f t="shared" si="343"/>
        <v>4.1033837973783796E-4</v>
      </c>
      <c r="L251" s="306">
        <v>1733</v>
      </c>
      <c r="M251" s="214">
        <f t="shared" si="344"/>
        <v>3.377309159621024E-4</v>
      </c>
      <c r="N251" s="508">
        <v>2205</v>
      </c>
      <c r="O251" s="509">
        <f t="shared" si="354"/>
        <v>4.0589114643724213E-4</v>
      </c>
      <c r="P251" s="655">
        <v>225</v>
      </c>
      <c r="Q251" s="356">
        <f t="shared" si="355"/>
        <v>3.8741090194939998E-5</v>
      </c>
      <c r="R251" s="508">
        <v>532</v>
      </c>
      <c r="S251" s="509">
        <f t="shared" si="356"/>
        <v>1.0057754576042013E-4</v>
      </c>
      <c r="T251" s="355">
        <v>167</v>
      </c>
      <c r="U251" s="356">
        <f t="shared" si="345"/>
        <v>3.4353544462949187E-5</v>
      </c>
      <c r="V251" s="655">
        <v>94</v>
      </c>
      <c r="W251" s="860">
        <f t="shared" si="357"/>
        <v>1.744705422266042E-5</v>
      </c>
      <c r="X251" s="656">
        <v>153</v>
      </c>
      <c r="Y251" s="860">
        <f t="shared" si="358"/>
        <v>2.8422485195229036E-5</v>
      </c>
      <c r="Z251" s="1084">
        <v>350</v>
      </c>
      <c r="AA251" s="1050">
        <f t="shared" si="359"/>
        <v>7.1065989847715741E-5</v>
      </c>
      <c r="AB251" s="1144">
        <f t="shared" si="346"/>
        <v>-50</v>
      </c>
      <c r="AC251" s="1136"/>
      <c r="AD251" s="557">
        <v>235</v>
      </c>
      <c r="AE251" s="748">
        <f t="shared" si="360"/>
        <v>5.1620204455548524E-5</v>
      </c>
      <c r="AF251" s="978">
        <f t="shared" si="361"/>
        <v>332</v>
      </c>
      <c r="AG251" s="782">
        <f t="shared" si="362"/>
        <v>6.9757278289517925E-5</v>
      </c>
      <c r="AH251" s="1001">
        <f t="shared" si="347"/>
        <v>-97</v>
      </c>
      <c r="AI251" s="451">
        <f t="shared" si="348"/>
        <v>-0.29216867469879521</v>
      </c>
      <c r="AJ251" s="1084">
        <v>400</v>
      </c>
      <c r="AK251" s="1050">
        <f t="shared" si="363"/>
        <v>7.4766355140186921E-5</v>
      </c>
      <c r="AL251" s="840">
        <v>200</v>
      </c>
      <c r="AM251" s="586">
        <f t="shared" si="364"/>
        <v>3.5714285714285717E-5</v>
      </c>
      <c r="AN251" s="978">
        <v>200</v>
      </c>
      <c r="AO251" s="782">
        <f t="shared" si="365"/>
        <v>3.5714285714285717E-5</v>
      </c>
      <c r="AP251" s="450">
        <f t="shared" si="369"/>
        <v>68.333333333333314</v>
      </c>
      <c r="AQ251" s="451">
        <f t="shared" si="349"/>
        <v>0.34166666666666656</v>
      </c>
      <c r="AR251" s="1127">
        <v>97</v>
      </c>
      <c r="AS251" s="748">
        <f t="shared" si="367"/>
        <v>2.0353005037263836E-5</v>
      </c>
      <c r="AT251" s="902">
        <v>146</v>
      </c>
      <c r="AU251" s="748">
        <f t="shared" si="368"/>
        <v>2.7187955363336299E-5</v>
      </c>
      <c r="AV251" s="450">
        <f t="shared" si="350"/>
        <v>138</v>
      </c>
      <c r="AW251" s="452">
        <f t="shared" si="351"/>
        <v>1.4226804123711341</v>
      </c>
    </row>
    <row r="252" spans="1:50" ht="18" hidden="1" customHeight="1" x14ac:dyDescent="0.25">
      <c r="A252" s="104">
        <v>24</v>
      </c>
      <c r="B252" s="107" t="s">
        <v>159</v>
      </c>
      <c r="C252" s="78" t="s">
        <v>228</v>
      </c>
      <c r="D252" s="56">
        <v>17727</v>
      </c>
      <c r="E252" s="57">
        <f t="shared" si="352"/>
        <v>3.3675694088026831E-3</v>
      </c>
      <c r="F252" s="167">
        <v>23747</v>
      </c>
      <c r="G252" s="166">
        <f t="shared" si="353"/>
        <v>4.6452270668443617E-3</v>
      </c>
      <c r="H252" s="126">
        <v>25200</v>
      </c>
      <c r="I252" s="57">
        <f t="shared" si="342"/>
        <v>4.6196141852219638E-3</v>
      </c>
      <c r="J252" s="167">
        <v>21386</v>
      </c>
      <c r="K252" s="166">
        <f t="shared" si="343"/>
        <v>3.827080937232186E-3</v>
      </c>
      <c r="L252" s="306">
        <v>21982</v>
      </c>
      <c r="M252" s="214">
        <f t="shared" si="344"/>
        <v>4.2839013241078678E-3</v>
      </c>
      <c r="N252" s="508">
        <v>30353</v>
      </c>
      <c r="O252" s="509">
        <f t="shared" si="354"/>
        <v>5.5873079219091208E-3</v>
      </c>
      <c r="P252" s="655">
        <v>38003</v>
      </c>
      <c r="Q252" s="356">
        <f t="shared" si="355"/>
        <v>6.5434562252369103E-3</v>
      </c>
      <c r="R252" s="508">
        <v>24584</v>
      </c>
      <c r="S252" s="509">
        <f t="shared" si="356"/>
        <v>4.647741325139414E-3</v>
      </c>
      <c r="T252" s="355">
        <v>27985</v>
      </c>
      <c r="U252" s="356">
        <f t="shared" si="345"/>
        <v>5.7567900706325332E-3</v>
      </c>
      <c r="V252" s="655">
        <v>28003</v>
      </c>
      <c r="W252" s="860">
        <f t="shared" si="357"/>
        <v>5.1975516957144651E-3</v>
      </c>
      <c r="X252" s="656">
        <v>21024</v>
      </c>
      <c r="Y252" s="860">
        <f t="shared" si="358"/>
        <v>3.9055838480032369E-3</v>
      </c>
      <c r="Z252" s="1084">
        <v>29500</v>
      </c>
      <c r="AA252" s="1050">
        <f t="shared" si="359"/>
        <v>5.9898477157360403E-3</v>
      </c>
      <c r="AB252" s="1144">
        <f t="shared" si="346"/>
        <v>1500</v>
      </c>
      <c r="AC252" s="1136"/>
      <c r="AD252" s="557">
        <v>22097</v>
      </c>
      <c r="AE252" s="748">
        <f t="shared" si="360"/>
        <v>4.8538368419330027E-3</v>
      </c>
      <c r="AF252" s="978">
        <f t="shared" si="361"/>
        <v>23240</v>
      </c>
      <c r="AG252" s="782">
        <f t="shared" si="362"/>
        <v>4.8830094802662545E-3</v>
      </c>
      <c r="AH252" s="1001">
        <f t="shared" si="347"/>
        <v>-1143</v>
      </c>
      <c r="AI252" s="451">
        <f t="shared" si="348"/>
        <v>-4.9182444061962136E-2</v>
      </c>
      <c r="AJ252" s="1084">
        <v>28000</v>
      </c>
      <c r="AK252" s="1050">
        <f t="shared" si="363"/>
        <v>5.2336448598130844E-3</v>
      </c>
      <c r="AL252" s="840">
        <v>29150</v>
      </c>
      <c r="AM252" s="586">
        <f t="shared" si="364"/>
        <v>5.2053571428571426E-3</v>
      </c>
      <c r="AN252" s="978">
        <v>29150</v>
      </c>
      <c r="AO252" s="782">
        <f t="shared" si="365"/>
        <v>5.2053571428571426E-3</v>
      </c>
      <c r="AP252" s="450">
        <f t="shared" si="369"/>
        <v>-2194.6666666666642</v>
      </c>
      <c r="AQ252" s="451">
        <f t="shared" si="349"/>
        <v>-7.5288736420811811E-2</v>
      </c>
      <c r="AR252" s="1127">
        <v>19492</v>
      </c>
      <c r="AS252" s="748">
        <f t="shared" si="367"/>
        <v>4.089904888519038E-3</v>
      </c>
      <c r="AT252" s="902">
        <v>24692</v>
      </c>
      <c r="AU252" s="748">
        <f t="shared" si="368"/>
        <v>4.5981163961061637E-3</v>
      </c>
      <c r="AV252" s="450">
        <f t="shared" si="350"/>
        <v>2605</v>
      </c>
      <c r="AW252" s="452">
        <f t="shared" si="351"/>
        <v>0.13364457213215677</v>
      </c>
    </row>
    <row r="253" spans="1:50" ht="18" hidden="1" customHeight="1" x14ac:dyDescent="0.25">
      <c r="A253" s="104">
        <v>25</v>
      </c>
      <c r="B253" s="107" t="s">
        <v>160</v>
      </c>
      <c r="C253" s="78" t="s">
        <v>333</v>
      </c>
      <c r="D253" s="56">
        <v>22750</v>
      </c>
      <c r="E253" s="57">
        <f t="shared" si="352"/>
        <v>4.3217805635618568E-3</v>
      </c>
      <c r="F253" s="167">
        <v>20475</v>
      </c>
      <c r="G253" s="166">
        <f t="shared" si="353"/>
        <v>4.0051806204420897E-3</v>
      </c>
      <c r="H253" s="126">
        <v>20020</v>
      </c>
      <c r="I253" s="57">
        <f t="shared" si="342"/>
        <v>3.670026824926338E-3</v>
      </c>
      <c r="J253" s="167">
        <v>19850</v>
      </c>
      <c r="K253" s="166">
        <f t="shared" si="343"/>
        <v>3.5522096981230196E-3</v>
      </c>
      <c r="L253" s="306">
        <v>19025</v>
      </c>
      <c r="M253" s="214">
        <f t="shared" si="344"/>
        <v>3.7076345505937672E-3</v>
      </c>
      <c r="N253" s="508">
        <v>21255</v>
      </c>
      <c r="O253" s="509">
        <f t="shared" si="354"/>
        <v>3.9125697585140964E-3</v>
      </c>
      <c r="P253" s="655">
        <v>20200</v>
      </c>
      <c r="Q253" s="356">
        <f t="shared" si="355"/>
        <v>3.478088986390169E-3</v>
      </c>
      <c r="R253" s="508">
        <v>21450</v>
      </c>
      <c r="S253" s="509">
        <f t="shared" si="356"/>
        <v>4.0552412717312254E-3</v>
      </c>
      <c r="T253" s="355">
        <v>24937</v>
      </c>
      <c r="U253" s="356">
        <f t="shared" si="345"/>
        <v>5.1297864567219397E-3</v>
      </c>
      <c r="V253" s="655">
        <v>28038</v>
      </c>
      <c r="W253" s="860">
        <f t="shared" si="357"/>
        <v>5.2040479393080088E-3</v>
      </c>
      <c r="X253" s="656">
        <v>27035</v>
      </c>
      <c r="Y253" s="860">
        <f t="shared" si="358"/>
        <v>5.0222345572092609E-3</v>
      </c>
      <c r="Z253" s="1084">
        <v>29500</v>
      </c>
      <c r="AA253" s="1050">
        <f t="shared" si="359"/>
        <v>5.9898477157360403E-3</v>
      </c>
      <c r="AB253" s="1144">
        <f t="shared" si="346"/>
        <v>1750</v>
      </c>
      <c r="AC253" s="1136"/>
      <c r="AD253" s="557">
        <v>27724</v>
      </c>
      <c r="AE253" s="748">
        <f t="shared" si="360"/>
        <v>6.0898661630877753E-3</v>
      </c>
      <c r="AF253" s="978">
        <v>27750</v>
      </c>
      <c r="AG253" s="782">
        <f t="shared" si="362"/>
        <v>5.8306158811268745E-3</v>
      </c>
      <c r="AH253" s="1001">
        <f t="shared" si="347"/>
        <v>-26</v>
      </c>
      <c r="AI253" s="451">
        <f t="shared" si="348"/>
        <v>-9.3693693693693697E-4</v>
      </c>
      <c r="AJ253" s="1084">
        <v>27750</v>
      </c>
      <c r="AK253" s="1050">
        <f t="shared" si="363"/>
        <v>5.186915887850467E-3</v>
      </c>
      <c r="AL253" s="840">
        <v>27150</v>
      </c>
      <c r="AM253" s="586">
        <f t="shared" si="364"/>
        <v>4.8482142857142856E-3</v>
      </c>
      <c r="AN253" s="978">
        <v>27150</v>
      </c>
      <c r="AO253" s="782">
        <f t="shared" si="365"/>
        <v>4.8482142857142856E-3</v>
      </c>
      <c r="AP253" s="1001">
        <f>$AD253-(AL253*$AX$4)</f>
        <v>574</v>
      </c>
      <c r="AQ253" s="451">
        <f t="shared" si="349"/>
        <v>2.1141804788213626E-2</v>
      </c>
      <c r="AR253" s="1127">
        <v>26029</v>
      </c>
      <c r="AS253" s="748">
        <f t="shared" si="367"/>
        <v>5.4615295681952614E-3</v>
      </c>
      <c r="AT253" s="902">
        <v>26529</v>
      </c>
      <c r="AU253" s="748">
        <f t="shared" si="368"/>
        <v>4.9402004646160865E-3</v>
      </c>
      <c r="AV253" s="450">
        <f t="shared" si="350"/>
        <v>1695</v>
      </c>
      <c r="AW253" s="452">
        <f t="shared" si="351"/>
        <v>6.5119674209535516E-2</v>
      </c>
      <c r="AX253" s="266" t="s">
        <v>330</v>
      </c>
    </row>
    <row r="254" spans="1:50" ht="18" hidden="1" customHeight="1" x14ac:dyDescent="0.25">
      <c r="A254" s="104">
        <v>26</v>
      </c>
      <c r="B254" s="107" t="s">
        <v>268</v>
      </c>
      <c r="C254" s="78" t="s">
        <v>254</v>
      </c>
      <c r="D254" s="56">
        <v>0</v>
      </c>
      <c r="E254" s="57">
        <f t="shared" si="352"/>
        <v>0</v>
      </c>
      <c r="F254" s="167">
        <v>0</v>
      </c>
      <c r="G254" s="166">
        <f t="shared" si="353"/>
        <v>0</v>
      </c>
      <c r="H254" s="126">
        <v>0</v>
      </c>
      <c r="I254" s="57">
        <f t="shared" si="342"/>
        <v>0</v>
      </c>
      <c r="J254" s="167">
        <v>3871</v>
      </c>
      <c r="K254" s="166">
        <f t="shared" si="343"/>
        <v>6.9272562929139595E-4</v>
      </c>
      <c r="L254" s="306">
        <v>3683</v>
      </c>
      <c r="M254" s="214">
        <f t="shared" si="344"/>
        <v>7.1775127725817842E-4</v>
      </c>
      <c r="N254" s="508">
        <v>2931</v>
      </c>
      <c r="O254" s="509">
        <f t="shared" si="354"/>
        <v>5.3953149669276948E-4</v>
      </c>
      <c r="P254" s="655">
        <v>1048</v>
      </c>
      <c r="Q254" s="356">
        <f t="shared" si="355"/>
        <v>1.8044738899687608E-4</v>
      </c>
      <c r="R254" s="508">
        <v>816</v>
      </c>
      <c r="S254" s="509">
        <f t="shared" si="356"/>
        <v>1.5426931830921583E-4</v>
      </c>
      <c r="T254" s="355">
        <v>2600</v>
      </c>
      <c r="U254" s="356">
        <f t="shared" si="345"/>
        <v>5.3484560241717294E-4</v>
      </c>
      <c r="V254" s="655">
        <v>4936</v>
      </c>
      <c r="W254" s="860">
        <f t="shared" si="357"/>
        <v>9.161559536494876E-4</v>
      </c>
      <c r="X254" s="656">
        <v>1080</v>
      </c>
      <c r="Y254" s="860">
        <f t="shared" si="358"/>
        <v>2.0062930726044026E-4</v>
      </c>
      <c r="Z254" s="1084">
        <v>1500</v>
      </c>
      <c r="AA254" s="1050">
        <f t="shared" si="359"/>
        <v>3.0456852791878173E-4</v>
      </c>
      <c r="AB254" s="1144">
        <f t="shared" si="346"/>
        <v>0</v>
      </c>
      <c r="AC254" s="1136"/>
      <c r="AD254" s="557">
        <v>1795</v>
      </c>
      <c r="AE254" s="748">
        <f t="shared" si="360"/>
        <v>3.9429049786259403E-4</v>
      </c>
      <c r="AF254" s="978">
        <f t="shared" si="361"/>
        <v>1245</v>
      </c>
      <c r="AG254" s="782">
        <f t="shared" si="362"/>
        <v>2.6158979358569217E-4</v>
      </c>
      <c r="AH254" s="1001">
        <f t="shared" si="347"/>
        <v>550</v>
      </c>
      <c r="AI254" s="451">
        <f t="shared" si="348"/>
        <v>0.44176706827309237</v>
      </c>
      <c r="AJ254" s="1084">
        <v>1500</v>
      </c>
      <c r="AK254" s="1050">
        <f t="shared" si="363"/>
        <v>2.8037383177570094E-4</v>
      </c>
      <c r="AL254" s="840">
        <v>1000</v>
      </c>
      <c r="AM254" s="586">
        <f t="shared" si="364"/>
        <v>1.7857142857142857E-4</v>
      </c>
      <c r="AN254" s="978">
        <v>1000</v>
      </c>
      <c r="AO254" s="782">
        <f t="shared" si="365"/>
        <v>1.7857142857142857E-4</v>
      </c>
      <c r="AP254" s="450">
        <f t="shared" ref="AP254:AP265" si="370">$AD254-(AL254/12*$AX$1)</f>
        <v>961.66666666666674</v>
      </c>
      <c r="AQ254" s="451">
        <f t="shared" si="349"/>
        <v>0.96166666666666678</v>
      </c>
      <c r="AR254" s="1127">
        <v>155</v>
      </c>
      <c r="AS254" s="748">
        <f t="shared" si="367"/>
        <v>3.2522843100782417E-5</v>
      </c>
      <c r="AT254" s="902">
        <v>163</v>
      </c>
      <c r="AU254" s="748">
        <f t="shared" si="368"/>
        <v>3.0353676193313811E-5</v>
      </c>
      <c r="AV254" s="450">
        <f t="shared" si="350"/>
        <v>1640</v>
      </c>
      <c r="AW254" s="452">
        <f t="shared" si="351"/>
        <v>10.580645161290322</v>
      </c>
    </row>
    <row r="255" spans="1:50" ht="18" hidden="1" customHeight="1" x14ac:dyDescent="0.25">
      <c r="A255" s="104">
        <v>27</v>
      </c>
      <c r="B255" s="107" t="s">
        <v>161</v>
      </c>
      <c r="C255" s="78" t="s">
        <v>226</v>
      </c>
      <c r="D255" s="56">
        <v>10461</v>
      </c>
      <c r="E255" s="57">
        <f t="shared" ref="E255:E265" si="371">D255/D$11</f>
        <v>1.9872591857327732E-3</v>
      </c>
      <c r="F255" s="167">
        <v>6464</v>
      </c>
      <c r="G255" s="166">
        <f t="shared" ref="G255:G265" si="372">F255/F$11</f>
        <v>1.2644438354352952E-3</v>
      </c>
      <c r="H255" s="126">
        <v>11012</v>
      </c>
      <c r="I255" s="57">
        <f t="shared" ref="I255:I265" si="373">H255/H$11</f>
        <v>2.0186980717327089E-3</v>
      </c>
      <c r="J255" s="167">
        <v>2597</v>
      </c>
      <c r="K255" s="166">
        <f t="shared" ref="K255:K265" si="374">J255/J$11</f>
        <v>4.6473997914486055E-4</v>
      </c>
      <c r="L255" s="306">
        <v>2895</v>
      </c>
      <c r="M255" s="214">
        <f t="shared" ref="M255:M265" si="375">L255/L$11</f>
        <v>5.6418407484725135E-4</v>
      </c>
      <c r="N255" s="508">
        <v>6147</v>
      </c>
      <c r="O255" s="509">
        <f t="shared" si="354"/>
        <v>1.1315251143536179E-3</v>
      </c>
      <c r="P255" s="655">
        <f>5829+3979</f>
        <v>9808</v>
      </c>
      <c r="Q255" s="356">
        <f t="shared" si="355"/>
        <v>1.6887671672532068E-3</v>
      </c>
      <c r="R255" s="508">
        <v>4067</v>
      </c>
      <c r="S255" s="509">
        <f t="shared" si="356"/>
        <v>7.6888886956321171E-4</v>
      </c>
      <c r="T255" s="355">
        <v>2945</v>
      </c>
      <c r="U255" s="356">
        <f t="shared" si="345"/>
        <v>6.0581549966099021E-4</v>
      </c>
      <c r="V255" s="655">
        <v>2842</v>
      </c>
      <c r="W255" s="860">
        <f t="shared" si="357"/>
        <v>5.2749497979575439E-4</v>
      </c>
      <c r="X255" s="656">
        <v>1993</v>
      </c>
      <c r="Y255" s="860">
        <f t="shared" si="358"/>
        <v>3.7023537904634944E-4</v>
      </c>
      <c r="Z255" s="1084">
        <v>3000</v>
      </c>
      <c r="AA255" s="1050">
        <f t="shared" si="359"/>
        <v>6.0913705583756346E-4</v>
      </c>
      <c r="AB255" s="1144">
        <f t="shared" si="346"/>
        <v>0</v>
      </c>
      <c r="AC255" s="1136"/>
      <c r="AD255" s="557">
        <v>2221</v>
      </c>
      <c r="AE255" s="748">
        <f t="shared" si="360"/>
        <v>4.8786584721605646E-4</v>
      </c>
      <c r="AF255" s="978">
        <f t="shared" si="361"/>
        <v>2490</v>
      </c>
      <c r="AG255" s="782">
        <f t="shared" si="362"/>
        <v>5.2317958717138435E-4</v>
      </c>
      <c r="AH255" s="1001">
        <f t="shared" si="347"/>
        <v>-269</v>
      </c>
      <c r="AI255" s="451">
        <f t="shared" si="348"/>
        <v>-0.10803212851405622</v>
      </c>
      <c r="AJ255" s="1084">
        <v>3000</v>
      </c>
      <c r="AK255" s="1050">
        <f t="shared" si="363"/>
        <v>5.6074766355140187E-4</v>
      </c>
      <c r="AL255" s="840">
        <v>2500</v>
      </c>
      <c r="AM255" s="586">
        <f t="shared" si="364"/>
        <v>4.4642857142857141E-4</v>
      </c>
      <c r="AN255" s="978">
        <v>2500</v>
      </c>
      <c r="AO255" s="782">
        <f t="shared" si="365"/>
        <v>4.4642857142857141E-4</v>
      </c>
      <c r="AP255" s="450">
        <f t="shared" si="370"/>
        <v>137.66666666666652</v>
      </c>
      <c r="AQ255" s="451">
        <f t="shared" si="349"/>
        <v>5.5066666666666604E-2</v>
      </c>
      <c r="AR255" s="1127">
        <v>3198</v>
      </c>
      <c r="AS255" s="748">
        <f t="shared" si="367"/>
        <v>6.7101969184711076E-4</v>
      </c>
      <c r="AT255" s="902">
        <v>3198</v>
      </c>
      <c r="AU255" s="748">
        <f t="shared" si="368"/>
        <v>5.9552795378047592E-4</v>
      </c>
      <c r="AV255" s="450">
        <f t="shared" si="350"/>
        <v>-977</v>
      </c>
      <c r="AW255" s="452">
        <f t="shared" si="351"/>
        <v>-0.30550343964978111</v>
      </c>
    </row>
    <row r="256" spans="1:50" ht="18" hidden="1" customHeight="1" x14ac:dyDescent="0.25">
      <c r="A256" s="104">
        <v>28</v>
      </c>
      <c r="B256" s="107" t="s">
        <v>158</v>
      </c>
      <c r="C256" s="78" t="s">
        <v>242</v>
      </c>
      <c r="D256" s="56">
        <v>49508</v>
      </c>
      <c r="E256" s="57">
        <f t="shared" si="371"/>
        <v>9.4049543798162827E-3</v>
      </c>
      <c r="F256" s="167">
        <v>13915</v>
      </c>
      <c r="G256" s="166">
        <f t="shared" si="372"/>
        <v>2.7219579161636962E-3</v>
      </c>
      <c r="H256" s="126">
        <f>5914+23800</f>
        <v>29714</v>
      </c>
      <c r="I256" s="57">
        <f t="shared" si="373"/>
        <v>5.4471117420510093E-3</v>
      </c>
      <c r="J256" s="167">
        <v>2338</v>
      </c>
      <c r="K256" s="166">
        <f t="shared" si="374"/>
        <v>4.1839124807111432E-4</v>
      </c>
      <c r="L256" s="306">
        <v>6206</v>
      </c>
      <c r="M256" s="214">
        <f t="shared" si="375"/>
        <v>1.2094391601043322E-3</v>
      </c>
      <c r="N256" s="508">
        <v>2255</v>
      </c>
      <c r="O256" s="509">
        <f t="shared" si="354"/>
        <v>4.1509502730883492E-4</v>
      </c>
      <c r="P256" s="655">
        <v>16522</v>
      </c>
      <c r="Q256" s="356">
        <f t="shared" si="355"/>
        <v>2.8448012986702163E-3</v>
      </c>
      <c r="R256" s="508">
        <v>6803</v>
      </c>
      <c r="S256" s="509">
        <f t="shared" si="356"/>
        <v>1.2861448191882295E-3</v>
      </c>
      <c r="T256" s="355">
        <f>1431+1693</f>
        <v>3124</v>
      </c>
      <c r="U256" s="356">
        <f t="shared" si="345"/>
        <v>6.4263756228894169E-4</v>
      </c>
      <c r="V256" s="655">
        <v>27750</v>
      </c>
      <c r="W256" s="860">
        <f t="shared" si="357"/>
        <v>5.1505931348811342E-3</v>
      </c>
      <c r="X256" s="656">
        <v>7405</v>
      </c>
      <c r="Y256" s="860">
        <f t="shared" si="358"/>
        <v>1.3756111298736666E-3</v>
      </c>
      <c r="Z256" s="1084">
        <v>3000</v>
      </c>
      <c r="AA256" s="1050">
        <f t="shared" si="359"/>
        <v>6.0913705583756346E-4</v>
      </c>
      <c r="AB256" s="1144">
        <f t="shared" si="346"/>
        <v>-500</v>
      </c>
      <c r="AC256" s="1136"/>
      <c r="AD256" s="557">
        <v>4140</v>
      </c>
      <c r="AE256" s="748">
        <f t="shared" si="360"/>
        <v>9.0939424019562077E-4</v>
      </c>
      <c r="AF256" s="978">
        <v>3500</v>
      </c>
      <c r="AG256" s="782">
        <f t="shared" si="362"/>
        <v>7.3539299401600218E-4</v>
      </c>
      <c r="AH256" s="1001">
        <f t="shared" si="347"/>
        <v>640</v>
      </c>
      <c r="AI256" s="451">
        <f t="shared" si="348"/>
        <v>0.18285714285714286</v>
      </c>
      <c r="AJ256" s="1084">
        <v>3500</v>
      </c>
      <c r="AK256" s="1050">
        <f t="shared" si="363"/>
        <v>6.5420560747663555E-4</v>
      </c>
      <c r="AL256" s="840">
        <v>2000</v>
      </c>
      <c r="AM256" s="586">
        <f t="shared" si="364"/>
        <v>3.5714285714285714E-4</v>
      </c>
      <c r="AN256" s="978">
        <v>2000</v>
      </c>
      <c r="AO256" s="782">
        <f t="shared" si="365"/>
        <v>3.5714285714285714E-4</v>
      </c>
      <c r="AP256" s="450">
        <f t="shared" si="370"/>
        <v>2473.3333333333335</v>
      </c>
      <c r="AQ256" s="451">
        <f t="shared" si="349"/>
        <v>1.2366666666666668</v>
      </c>
      <c r="AR256" s="1127">
        <v>11021</v>
      </c>
      <c r="AS256" s="748">
        <f t="shared" si="367"/>
        <v>2.312479056862729E-3</v>
      </c>
      <c r="AT256" s="902">
        <v>11222</v>
      </c>
      <c r="AU256" s="748">
        <f t="shared" si="368"/>
        <v>2.0897481855298625E-3</v>
      </c>
      <c r="AV256" s="450">
        <f t="shared" si="350"/>
        <v>-6881</v>
      </c>
      <c r="AW256" s="452">
        <f t="shared" si="351"/>
        <v>-0.62435350694129388</v>
      </c>
    </row>
    <row r="257" spans="1:50" ht="18" hidden="1" customHeight="1" x14ac:dyDescent="0.25">
      <c r="A257" s="104">
        <v>29</v>
      </c>
      <c r="B257" s="107" t="s">
        <v>162</v>
      </c>
      <c r="C257" s="78" t="s">
        <v>243</v>
      </c>
      <c r="D257" s="56">
        <v>2250</v>
      </c>
      <c r="E257" s="57">
        <f t="shared" si="371"/>
        <v>4.2742884694567818E-4</v>
      </c>
      <c r="F257" s="167">
        <v>8500</v>
      </c>
      <c r="G257" s="166">
        <f t="shared" si="372"/>
        <v>1.6627123454826746E-3</v>
      </c>
      <c r="H257" s="126">
        <v>0</v>
      </c>
      <c r="I257" s="57">
        <f t="shared" si="373"/>
        <v>0</v>
      </c>
      <c r="J257" s="167">
        <v>15629</v>
      </c>
      <c r="K257" s="166">
        <f t="shared" si="374"/>
        <v>2.7968506484616963E-3</v>
      </c>
      <c r="L257" s="306">
        <v>9712</v>
      </c>
      <c r="M257" s="214">
        <f t="shared" si="375"/>
        <v>1.8926962814910205E-3</v>
      </c>
      <c r="N257" s="508">
        <v>1500</v>
      </c>
      <c r="O257" s="509">
        <f t="shared" si="354"/>
        <v>2.7611642614778375E-4</v>
      </c>
      <c r="P257" s="655">
        <v>500</v>
      </c>
      <c r="Q257" s="356">
        <f t="shared" si="355"/>
        <v>8.6091311544311114E-5</v>
      </c>
      <c r="R257" s="508">
        <v>100</v>
      </c>
      <c r="S257" s="509">
        <f t="shared" si="356"/>
        <v>1.8905553714364686E-5</v>
      </c>
      <c r="T257" s="355">
        <v>0</v>
      </c>
      <c r="U257" s="356">
        <f t="shared" si="345"/>
        <v>0</v>
      </c>
      <c r="V257" s="655">
        <v>0</v>
      </c>
      <c r="W257" s="860">
        <f t="shared" si="357"/>
        <v>0</v>
      </c>
      <c r="X257" s="656">
        <v>66362</v>
      </c>
      <c r="Y257" s="860">
        <f t="shared" si="358"/>
        <v>1.2327927859645682E-2</v>
      </c>
      <c r="Z257" s="1084">
        <v>6000</v>
      </c>
      <c r="AA257" s="1050">
        <f t="shared" si="359"/>
        <v>1.2182741116751269E-3</v>
      </c>
      <c r="AB257" s="1144">
        <f t="shared" si="346"/>
        <v>0</v>
      </c>
      <c r="AC257" s="1136"/>
      <c r="AD257" s="557">
        <v>5000</v>
      </c>
      <c r="AE257" s="748">
        <f t="shared" si="360"/>
        <v>1.0983022224584792E-3</v>
      </c>
      <c r="AF257" s="978">
        <f t="shared" si="361"/>
        <v>4980</v>
      </c>
      <c r="AG257" s="782">
        <f t="shared" si="362"/>
        <v>1.0463591743427687E-3</v>
      </c>
      <c r="AH257" s="1001">
        <f t="shared" si="347"/>
        <v>20</v>
      </c>
      <c r="AI257" s="451">
        <f t="shared" si="348"/>
        <v>4.0160642570281121E-3</v>
      </c>
      <c r="AJ257" s="1084">
        <v>6000</v>
      </c>
      <c r="AK257" s="1050">
        <f t="shared" si="363"/>
        <v>1.1214953271028037E-3</v>
      </c>
      <c r="AL257" s="840">
        <v>6000</v>
      </c>
      <c r="AM257" s="586">
        <f t="shared" si="364"/>
        <v>1.0714285714285715E-3</v>
      </c>
      <c r="AN257" s="978">
        <v>6000</v>
      </c>
      <c r="AO257" s="782">
        <f t="shared" si="365"/>
        <v>1.0714285714285715E-3</v>
      </c>
      <c r="AP257" s="450">
        <f t="shared" si="370"/>
        <v>0</v>
      </c>
      <c r="AQ257" s="451">
        <f t="shared" si="349"/>
        <v>0</v>
      </c>
      <c r="AR257" s="1127">
        <v>5000</v>
      </c>
      <c r="AS257" s="748">
        <f t="shared" si="367"/>
        <v>1.0491239709929812E-3</v>
      </c>
      <c r="AT257" s="902">
        <v>77968</v>
      </c>
      <c r="AU257" s="748">
        <f t="shared" si="368"/>
        <v>1.4519113039510988E-2</v>
      </c>
      <c r="AV257" s="450">
        <f t="shared" si="350"/>
        <v>0</v>
      </c>
      <c r="AW257" s="452">
        <f t="shared" si="351"/>
        <v>0</v>
      </c>
    </row>
    <row r="258" spans="1:50" ht="18" hidden="1" customHeight="1" x14ac:dyDescent="0.25">
      <c r="A258" s="104">
        <v>30</v>
      </c>
      <c r="B258" s="107" t="s">
        <v>163</v>
      </c>
      <c r="C258" s="78" t="s">
        <v>244</v>
      </c>
      <c r="D258" s="56">
        <v>30000</v>
      </c>
      <c r="E258" s="57">
        <f t="shared" si="371"/>
        <v>5.6990512926090421E-3</v>
      </c>
      <c r="F258" s="167">
        <v>24588</v>
      </c>
      <c r="G258" s="166">
        <f t="shared" si="372"/>
        <v>4.8097377824385884E-3</v>
      </c>
      <c r="H258" s="126">
        <v>25000</v>
      </c>
      <c r="I258" s="57">
        <f t="shared" si="373"/>
        <v>4.5829505805773454E-3</v>
      </c>
      <c r="J258" s="167">
        <v>24550</v>
      </c>
      <c r="K258" s="166">
        <f t="shared" si="374"/>
        <v>4.3932870573763286E-3</v>
      </c>
      <c r="L258" s="306">
        <v>24500</v>
      </c>
      <c r="M258" s="214">
        <f t="shared" si="375"/>
        <v>4.774614795771211E-3</v>
      </c>
      <c r="N258" s="508">
        <v>24500</v>
      </c>
      <c r="O258" s="509">
        <f t="shared" si="354"/>
        <v>4.5099016270804685E-3</v>
      </c>
      <c r="P258" s="655">
        <v>24094</v>
      </c>
      <c r="Q258" s="356">
        <f t="shared" si="355"/>
        <v>4.1485681206972639E-3</v>
      </c>
      <c r="R258" s="508">
        <v>21351</v>
      </c>
      <c r="S258" s="509">
        <f t="shared" si="356"/>
        <v>4.0365247735540044E-3</v>
      </c>
      <c r="T258" s="355">
        <v>25900</v>
      </c>
      <c r="U258" s="356">
        <f t="shared" si="345"/>
        <v>5.3278850394633771E-3</v>
      </c>
      <c r="V258" s="655">
        <v>37120</v>
      </c>
      <c r="W258" s="860">
        <f t="shared" si="357"/>
        <v>6.8897303483527106E-3</v>
      </c>
      <c r="X258" s="656">
        <v>29797</v>
      </c>
      <c r="Y258" s="860">
        <f t="shared" si="358"/>
        <v>5.5353254337401278E-3</v>
      </c>
      <c r="Z258" s="1084">
        <v>20000</v>
      </c>
      <c r="AA258" s="1050">
        <f t="shared" si="359"/>
        <v>4.0609137055837565E-3</v>
      </c>
      <c r="AB258" s="1144">
        <f t="shared" si="346"/>
        <v>-8200</v>
      </c>
      <c r="AC258" s="1136"/>
      <c r="AD258" s="557">
        <v>20379</v>
      </c>
      <c r="AE258" s="748">
        <f t="shared" si="360"/>
        <v>4.4764601982962698E-3</v>
      </c>
      <c r="AF258" s="978">
        <f t="shared" si="361"/>
        <v>23406</v>
      </c>
      <c r="AG258" s="782">
        <f t="shared" si="362"/>
        <v>4.9178881194110137E-3</v>
      </c>
      <c r="AH258" s="1001">
        <f t="shared" si="347"/>
        <v>-3027</v>
      </c>
      <c r="AI258" s="451">
        <f t="shared" si="348"/>
        <v>-0.12932581389387338</v>
      </c>
      <c r="AJ258" s="1084">
        <v>28200</v>
      </c>
      <c r="AK258" s="1050">
        <f t="shared" si="363"/>
        <v>5.2710280373831778E-3</v>
      </c>
      <c r="AL258" s="840">
        <v>28000</v>
      </c>
      <c r="AM258" s="586">
        <f t="shared" si="364"/>
        <v>5.0000000000000001E-3</v>
      </c>
      <c r="AN258" s="978">
        <v>28000</v>
      </c>
      <c r="AO258" s="782">
        <f t="shared" si="365"/>
        <v>5.0000000000000001E-3</v>
      </c>
      <c r="AP258" s="1001">
        <f>$AD258-(AL258*$AX$8)</f>
        <v>13827</v>
      </c>
      <c r="AQ258" s="451">
        <f t="shared" si="349"/>
        <v>0.49382142857142858</v>
      </c>
      <c r="AR258" s="1127">
        <v>24106</v>
      </c>
      <c r="AS258" s="748">
        <f t="shared" si="367"/>
        <v>5.0580364889513604E-3</v>
      </c>
      <c r="AT258" s="902">
        <v>29688</v>
      </c>
      <c r="AU258" s="748">
        <f t="shared" si="368"/>
        <v>5.5284658823748492E-3</v>
      </c>
      <c r="AV258" s="450">
        <f t="shared" si="350"/>
        <v>-3727</v>
      </c>
      <c r="AW258" s="452">
        <f t="shared" si="351"/>
        <v>-0.15460881108437732</v>
      </c>
      <c r="AX258" s="266" t="s">
        <v>330</v>
      </c>
    </row>
    <row r="259" spans="1:50" ht="18" hidden="1" customHeight="1" x14ac:dyDescent="0.25">
      <c r="A259" s="104">
        <v>31</v>
      </c>
      <c r="B259" s="107" t="s">
        <v>164</v>
      </c>
      <c r="C259" s="78" t="s">
        <v>351</v>
      </c>
      <c r="D259" s="56">
        <f>14000+2000+2500+6000+1200+11214+41</f>
        <v>36955</v>
      </c>
      <c r="E259" s="57">
        <f t="shared" si="371"/>
        <v>7.0202813506122386E-3</v>
      </c>
      <c r="F259" s="167">
        <f>12000+2000+2500+6000+1200+15732+190</f>
        <v>39622</v>
      </c>
      <c r="G259" s="166">
        <f t="shared" si="372"/>
        <v>7.7505868885546511E-3</v>
      </c>
      <c r="H259" s="126">
        <f>33944+4080</f>
        <v>38024</v>
      </c>
      <c r="I259" s="57">
        <f t="shared" si="373"/>
        <v>6.9704845150349191E-3</v>
      </c>
      <c r="J259" s="167">
        <v>28000</v>
      </c>
      <c r="K259" s="166">
        <f t="shared" si="374"/>
        <v>5.0106736295941834E-3</v>
      </c>
      <c r="L259" s="306">
        <v>21774</v>
      </c>
      <c r="M259" s="214">
        <f t="shared" si="375"/>
        <v>4.2433658189029531E-3</v>
      </c>
      <c r="N259" s="508">
        <f>16348+3188</f>
        <v>19536</v>
      </c>
      <c r="O259" s="509">
        <f t="shared" si="354"/>
        <v>3.5961403341487359E-3</v>
      </c>
      <c r="P259" s="655">
        <v>7574</v>
      </c>
      <c r="Q259" s="356">
        <f t="shared" si="355"/>
        <v>1.3041111872732246E-3</v>
      </c>
      <c r="R259" s="508">
        <f>8056+14</f>
        <v>8070</v>
      </c>
      <c r="S259" s="509">
        <f t="shared" si="356"/>
        <v>1.5256781847492302E-3</v>
      </c>
      <c r="T259" s="355">
        <f>18052+352</f>
        <v>18404</v>
      </c>
      <c r="U259" s="356">
        <f t="shared" si="345"/>
        <v>3.7858840257252507E-3</v>
      </c>
      <c r="V259" s="655">
        <v>8754</v>
      </c>
      <c r="W259" s="860">
        <f t="shared" si="357"/>
        <v>1.6248033262252055E-3</v>
      </c>
      <c r="X259" s="656">
        <v>7598</v>
      </c>
      <c r="Y259" s="860">
        <f t="shared" si="358"/>
        <v>1.4114643301526158E-3</v>
      </c>
      <c r="Z259" s="1084">
        <v>5935</v>
      </c>
      <c r="AA259" s="1050">
        <f t="shared" si="359"/>
        <v>1.2050761421319796E-3</v>
      </c>
      <c r="AB259" s="1144">
        <f t="shared" si="346"/>
        <v>-1780</v>
      </c>
      <c r="AC259" s="1136"/>
      <c r="AD259" s="557">
        <v>6426</v>
      </c>
      <c r="AE259" s="748">
        <f t="shared" si="360"/>
        <v>1.4115380163036374E-3</v>
      </c>
      <c r="AF259" s="978">
        <f t="shared" si="361"/>
        <v>6403.45</v>
      </c>
      <c r="AG259" s="782">
        <f t="shared" si="362"/>
        <v>1.3454435050090769E-3</v>
      </c>
      <c r="AH259" s="1001">
        <f t="shared" si="347"/>
        <v>22.550000000000182</v>
      </c>
      <c r="AI259" s="451">
        <f t="shared" si="348"/>
        <v>3.5215391702910436E-3</v>
      </c>
      <c r="AJ259" s="1084">
        <v>7715</v>
      </c>
      <c r="AK259" s="1050">
        <f t="shared" si="363"/>
        <v>1.4420560747663552E-3</v>
      </c>
      <c r="AL259" s="840">
        <v>7545</v>
      </c>
      <c r="AM259" s="586">
        <f t="shared" si="364"/>
        <v>1.3473214285714286E-3</v>
      </c>
      <c r="AN259" s="978">
        <v>7545</v>
      </c>
      <c r="AO259" s="782">
        <f t="shared" si="365"/>
        <v>1.3473214285714286E-3</v>
      </c>
      <c r="AP259" s="450">
        <f t="shared" si="370"/>
        <v>138.5</v>
      </c>
      <c r="AQ259" s="451">
        <f t="shared" si="349"/>
        <v>1.8356527501656728E-2</v>
      </c>
      <c r="AR259" s="1127">
        <v>3797</v>
      </c>
      <c r="AS259" s="748">
        <f t="shared" si="367"/>
        <v>7.9670474357206988E-4</v>
      </c>
      <c r="AT259" s="902">
        <v>4556</v>
      </c>
      <c r="AU259" s="748">
        <f t="shared" si="368"/>
        <v>8.4841318243397375E-4</v>
      </c>
      <c r="AV259" s="450">
        <f t="shared" si="350"/>
        <v>2629</v>
      </c>
      <c r="AW259" s="452">
        <f t="shared" si="351"/>
        <v>0.69238872794311301</v>
      </c>
    </row>
    <row r="260" spans="1:50" ht="18" hidden="1" customHeight="1" x14ac:dyDescent="0.25">
      <c r="A260" s="104">
        <v>32</v>
      </c>
      <c r="B260" s="107"/>
      <c r="C260" s="78" t="s">
        <v>309</v>
      </c>
      <c r="D260" s="56">
        <v>61967</v>
      </c>
      <c r="E260" s="57">
        <f t="shared" si="371"/>
        <v>1.1771770381636818E-2</v>
      </c>
      <c r="F260" s="167">
        <f>41815+15</f>
        <v>41830</v>
      </c>
      <c r="G260" s="166">
        <f t="shared" si="372"/>
        <v>8.1825008719459153E-3</v>
      </c>
      <c r="H260" s="126">
        <f>47497+75</f>
        <v>47572</v>
      </c>
      <c r="I260" s="57">
        <f t="shared" si="373"/>
        <v>8.7208050007690184E-3</v>
      </c>
      <c r="J260" s="167">
        <v>11926</v>
      </c>
      <c r="K260" s="166">
        <f t="shared" si="374"/>
        <v>2.1341890609478656E-3</v>
      </c>
      <c r="L260" s="306">
        <f>25+3676</f>
        <v>3701</v>
      </c>
      <c r="M260" s="214">
        <f t="shared" si="375"/>
        <v>7.2125915751629604E-4</v>
      </c>
      <c r="N260" s="508">
        <v>31194</v>
      </c>
      <c r="O260" s="509">
        <f t="shared" si="354"/>
        <v>5.7421171981693114E-3</v>
      </c>
      <c r="P260" s="655">
        <v>21763</v>
      </c>
      <c r="Q260" s="356">
        <f t="shared" si="355"/>
        <v>3.7472104262776854E-3</v>
      </c>
      <c r="R260" s="508">
        <v>155839</v>
      </c>
      <c r="S260" s="509">
        <f t="shared" si="356"/>
        <v>2.9462225852928781E-2</v>
      </c>
      <c r="T260" s="355">
        <v>25000</v>
      </c>
      <c r="U260" s="356">
        <f t="shared" si="345"/>
        <v>5.1427461770882019E-3</v>
      </c>
      <c r="V260" s="655">
        <v>15000</v>
      </c>
      <c r="W260" s="860">
        <f t="shared" si="357"/>
        <v>2.7841043972330459E-3</v>
      </c>
      <c r="X260" s="656">
        <v>29625</v>
      </c>
      <c r="Y260" s="860">
        <f t="shared" si="358"/>
        <v>5.503373358880132E-3</v>
      </c>
      <c r="Z260" s="1084">
        <v>24000</v>
      </c>
      <c r="AA260" s="1050">
        <f t="shared" si="359"/>
        <v>4.8730964467005077E-3</v>
      </c>
      <c r="AB260" s="1144">
        <f t="shared" si="346"/>
        <v>-1000</v>
      </c>
      <c r="AC260" s="1136"/>
      <c r="AD260" s="557">
        <v>20833</v>
      </c>
      <c r="AE260" s="748">
        <f t="shared" si="360"/>
        <v>4.5761860400954993E-3</v>
      </c>
      <c r="AF260" s="978">
        <f t="shared" si="361"/>
        <v>20750</v>
      </c>
      <c r="AG260" s="782">
        <f t="shared" si="362"/>
        <v>4.3598298930948697E-3</v>
      </c>
      <c r="AH260" s="1001">
        <f t="shared" si="347"/>
        <v>83</v>
      </c>
      <c r="AI260" s="451">
        <f t="shared" si="348"/>
        <v>4.0000000000000001E-3</v>
      </c>
      <c r="AJ260" s="1084">
        <v>25000</v>
      </c>
      <c r="AK260" s="1050">
        <f t="shared" si="363"/>
        <v>4.6728971962616819E-3</v>
      </c>
      <c r="AL260" s="840">
        <v>25000</v>
      </c>
      <c r="AM260" s="586">
        <f t="shared" si="364"/>
        <v>4.464285714285714E-3</v>
      </c>
      <c r="AN260" s="978">
        <v>25000</v>
      </c>
      <c r="AO260" s="782">
        <f t="shared" si="365"/>
        <v>4.464285714285714E-3</v>
      </c>
      <c r="AP260" s="450">
        <f t="shared" si="370"/>
        <v>-0.33333333333575865</v>
      </c>
      <c r="AQ260" s="451">
        <f t="shared" si="349"/>
        <v>-1.3333333333430346E-5</v>
      </c>
      <c r="AR260" s="1127">
        <v>22470</v>
      </c>
      <c r="AS260" s="748">
        <f t="shared" si="367"/>
        <v>4.7147631256424577E-3</v>
      </c>
      <c r="AT260" s="902">
        <v>2692</v>
      </c>
      <c r="AU260" s="748">
        <f t="shared" si="368"/>
        <v>5.0130120437055694E-4</v>
      </c>
      <c r="AV260" s="450">
        <f t="shared" si="350"/>
        <v>-1637</v>
      </c>
      <c r="AW260" s="452">
        <f t="shared" si="351"/>
        <v>-7.2852692478860698E-2</v>
      </c>
    </row>
    <row r="261" spans="1:50" ht="18" hidden="1" customHeight="1" x14ac:dyDescent="0.25">
      <c r="A261" s="104">
        <v>33</v>
      </c>
      <c r="B261" s="107" t="s">
        <v>165</v>
      </c>
      <c r="C261" s="78" t="s">
        <v>288</v>
      </c>
      <c r="D261" s="56">
        <v>2696</v>
      </c>
      <c r="E261" s="57">
        <f t="shared" si="371"/>
        <v>5.1215474282913264E-4</v>
      </c>
      <c r="F261" s="167">
        <v>3389</v>
      </c>
      <c r="G261" s="166">
        <f t="shared" si="372"/>
        <v>6.6293319280479816E-4</v>
      </c>
      <c r="H261" s="126">
        <v>3832</v>
      </c>
      <c r="I261" s="57">
        <f t="shared" si="373"/>
        <v>7.0247466499089549E-4</v>
      </c>
      <c r="J261" s="167">
        <v>4190</v>
      </c>
      <c r="K261" s="166">
        <f t="shared" si="374"/>
        <v>7.4981151814284392E-4</v>
      </c>
      <c r="L261" s="306">
        <v>4309</v>
      </c>
      <c r="M261" s="214">
        <f t="shared" si="375"/>
        <v>8.3974755734604698E-4</v>
      </c>
      <c r="N261" s="508">
        <v>4216</v>
      </c>
      <c r="O261" s="509">
        <f t="shared" si="354"/>
        <v>7.7607123509270423E-4</v>
      </c>
      <c r="P261" s="655">
        <v>5115</v>
      </c>
      <c r="Q261" s="356">
        <f t="shared" si="355"/>
        <v>8.8071411709830262E-4</v>
      </c>
      <c r="R261" s="508">
        <v>4751</v>
      </c>
      <c r="S261" s="509">
        <f t="shared" si="356"/>
        <v>8.9820285696946616E-4</v>
      </c>
      <c r="T261" s="355">
        <v>5141</v>
      </c>
      <c r="U261" s="356">
        <f t="shared" si="345"/>
        <v>1.0575543238564179E-3</v>
      </c>
      <c r="V261" s="655">
        <v>5827</v>
      </c>
      <c r="W261" s="860">
        <f t="shared" si="357"/>
        <v>1.0815317548451306E-3</v>
      </c>
      <c r="X261" s="656">
        <v>6036</v>
      </c>
      <c r="Y261" s="860">
        <f t="shared" si="358"/>
        <v>1.1212949061333495E-3</v>
      </c>
      <c r="Z261" s="1084">
        <v>6000</v>
      </c>
      <c r="AA261" s="1050">
        <f t="shared" si="359"/>
        <v>1.2182741116751269E-3</v>
      </c>
      <c r="AB261" s="1144">
        <f t="shared" si="346"/>
        <v>0</v>
      </c>
      <c r="AC261" s="1136"/>
      <c r="AD261" s="557">
        <f>502+4434</f>
        <v>4936</v>
      </c>
      <c r="AE261" s="748">
        <f t="shared" si="360"/>
        <v>1.0842439540110107E-3</v>
      </c>
      <c r="AF261" s="978">
        <f t="shared" si="361"/>
        <v>4980</v>
      </c>
      <c r="AG261" s="782">
        <f t="shared" si="362"/>
        <v>1.0463591743427687E-3</v>
      </c>
      <c r="AH261" s="1001">
        <f t="shared" si="347"/>
        <v>-44</v>
      </c>
      <c r="AI261" s="451">
        <f t="shared" si="348"/>
        <v>-8.8353413654618466E-3</v>
      </c>
      <c r="AJ261" s="1084">
        <v>6000</v>
      </c>
      <c r="AK261" s="1050">
        <f t="shared" si="363"/>
        <v>1.1214953271028037E-3</v>
      </c>
      <c r="AL261" s="840">
        <v>5500</v>
      </c>
      <c r="AM261" s="586">
        <f t="shared" si="364"/>
        <v>9.8214285714285721E-4</v>
      </c>
      <c r="AN261" s="978">
        <v>5500</v>
      </c>
      <c r="AO261" s="782">
        <f t="shared" si="365"/>
        <v>9.8214285714285721E-4</v>
      </c>
      <c r="AP261" s="450">
        <f t="shared" si="370"/>
        <v>352.66666666666697</v>
      </c>
      <c r="AQ261" s="451">
        <f t="shared" si="349"/>
        <v>6.4121212121212176E-2</v>
      </c>
      <c r="AR261" s="1127">
        <v>4444</v>
      </c>
      <c r="AS261" s="748">
        <f t="shared" si="367"/>
        <v>9.3246138541856164E-4</v>
      </c>
      <c r="AT261" s="902">
        <f>264+4998</f>
        <v>5262</v>
      </c>
      <c r="AU261" s="748">
        <f t="shared" si="368"/>
        <v>9.798837063142165E-4</v>
      </c>
      <c r="AV261" s="450">
        <f t="shared" si="350"/>
        <v>492</v>
      </c>
      <c r="AW261" s="452">
        <f t="shared" si="351"/>
        <v>0.11071107110711072</v>
      </c>
    </row>
    <row r="262" spans="1:50" ht="18" hidden="1" customHeight="1" x14ac:dyDescent="0.25">
      <c r="A262" s="104">
        <v>34</v>
      </c>
      <c r="B262" s="107"/>
      <c r="C262" s="78" t="s">
        <v>332</v>
      </c>
      <c r="D262" s="56"/>
      <c r="E262" s="57"/>
      <c r="F262" s="167"/>
      <c r="G262" s="166"/>
      <c r="H262" s="126"/>
      <c r="I262" s="57"/>
      <c r="J262" s="167"/>
      <c r="K262" s="166"/>
      <c r="L262" s="306"/>
      <c r="M262" s="214"/>
      <c r="N262" s="508">
        <v>0</v>
      </c>
      <c r="O262" s="509">
        <f t="shared" si="354"/>
        <v>0</v>
      </c>
      <c r="P262" s="655">
        <v>0</v>
      </c>
      <c r="Q262" s="356">
        <f t="shared" si="355"/>
        <v>0</v>
      </c>
      <c r="R262" s="508">
        <v>40262</v>
      </c>
      <c r="S262" s="509">
        <f t="shared" si="356"/>
        <v>7.6117540364775095E-3</v>
      </c>
      <c r="T262" s="355">
        <v>3804</v>
      </c>
      <c r="U262" s="356">
        <f t="shared" si="345"/>
        <v>7.8252025830574082E-4</v>
      </c>
      <c r="V262" s="655">
        <v>1100</v>
      </c>
      <c r="W262" s="860">
        <f t="shared" si="357"/>
        <v>2.0416765579709003E-4</v>
      </c>
      <c r="X262" s="656">
        <v>1910</v>
      </c>
      <c r="Y262" s="860">
        <f t="shared" si="358"/>
        <v>3.5481664524763043E-4</v>
      </c>
      <c r="Z262" s="1084">
        <v>10000</v>
      </c>
      <c r="AA262" s="1050">
        <f t="shared" si="359"/>
        <v>2.0304568527918783E-3</v>
      </c>
      <c r="AB262" s="1144">
        <f t="shared" si="346"/>
        <v>5000</v>
      </c>
      <c r="AC262" s="1136"/>
      <c r="AD262" s="557">
        <v>2157</v>
      </c>
      <c r="AE262" s="748">
        <f t="shared" si="360"/>
        <v>4.7380757876858793E-4</v>
      </c>
      <c r="AF262" s="978">
        <f t="shared" si="361"/>
        <v>4150</v>
      </c>
      <c r="AG262" s="782">
        <f t="shared" si="362"/>
        <v>8.7196597861897399E-4</v>
      </c>
      <c r="AH262" s="1001">
        <f t="shared" si="347"/>
        <v>-1993</v>
      </c>
      <c r="AI262" s="451">
        <f t="shared" si="348"/>
        <v>-0.4802409638554217</v>
      </c>
      <c r="AJ262" s="1084">
        <v>5000</v>
      </c>
      <c r="AK262" s="1050">
        <f t="shared" si="363"/>
        <v>9.3457943925233649E-4</v>
      </c>
      <c r="AL262" s="840">
        <v>5250</v>
      </c>
      <c r="AM262" s="586">
        <f t="shared" si="364"/>
        <v>9.3749999999999997E-4</v>
      </c>
      <c r="AN262" s="978">
        <v>5250</v>
      </c>
      <c r="AO262" s="782">
        <f t="shared" si="365"/>
        <v>9.3749999999999997E-4</v>
      </c>
      <c r="AP262" s="450">
        <f t="shared" si="370"/>
        <v>-2218</v>
      </c>
      <c r="AQ262" s="451">
        <f t="shared" si="349"/>
        <v>-0.42247619047619045</v>
      </c>
      <c r="AR262" s="1127">
        <v>1737</v>
      </c>
      <c r="AS262" s="748">
        <f t="shared" si="367"/>
        <v>3.6446566752296167E-4</v>
      </c>
      <c r="AT262" s="902">
        <v>2084</v>
      </c>
      <c r="AU262" s="748">
        <f t="shared" si="368"/>
        <v>3.880801299807729E-4</v>
      </c>
      <c r="AV262" s="450">
        <f t="shared" si="350"/>
        <v>420</v>
      </c>
      <c r="AW262" s="452">
        <f t="shared" si="351"/>
        <v>0.24179620034542315</v>
      </c>
    </row>
    <row r="263" spans="1:50" ht="18" hidden="1" customHeight="1" x14ac:dyDescent="0.25">
      <c r="A263" s="104">
        <v>35</v>
      </c>
      <c r="B263" s="107" t="s">
        <v>166</v>
      </c>
      <c r="C263" s="78" t="s">
        <v>195</v>
      </c>
      <c r="D263" s="56">
        <f>31690-8953</f>
        <v>22737</v>
      </c>
      <c r="E263" s="57">
        <f t="shared" si="371"/>
        <v>4.3193109746683936E-3</v>
      </c>
      <c r="F263" s="167">
        <f>23205-6633</f>
        <v>16572</v>
      </c>
      <c r="G263" s="166">
        <f t="shared" si="372"/>
        <v>3.2417022340398686E-3</v>
      </c>
      <c r="H263" s="126">
        <f>15642-4125</f>
        <v>11517</v>
      </c>
      <c r="I263" s="57">
        <f t="shared" si="373"/>
        <v>2.1112736734603716E-3</v>
      </c>
      <c r="J263" s="167">
        <f>17878-4778</f>
        <v>13100</v>
      </c>
      <c r="K263" s="166">
        <f t="shared" si="374"/>
        <v>2.3442794481315647E-3</v>
      </c>
      <c r="L263" s="306">
        <f>30593-8243</f>
        <v>22350</v>
      </c>
      <c r="M263" s="214">
        <f t="shared" si="375"/>
        <v>4.355617987162717E-3</v>
      </c>
      <c r="N263" s="508">
        <v>34926</v>
      </c>
      <c r="O263" s="509">
        <f t="shared" si="354"/>
        <v>6.4290948664249975E-3</v>
      </c>
      <c r="P263" s="655">
        <v>32130</v>
      </c>
      <c r="Q263" s="356">
        <f t="shared" si="355"/>
        <v>5.5322276798374318E-3</v>
      </c>
      <c r="R263" s="508">
        <v>38311</v>
      </c>
      <c r="S263" s="509">
        <f t="shared" si="356"/>
        <v>7.2429066835102548E-3</v>
      </c>
      <c r="T263" s="355">
        <f>41726-7194</f>
        <v>34532</v>
      </c>
      <c r="U263" s="356">
        <f t="shared" si="345"/>
        <v>7.1035724394883917E-3</v>
      </c>
      <c r="V263" s="655">
        <f>42467-6890</f>
        <v>35577</v>
      </c>
      <c r="W263" s="860">
        <f t="shared" si="357"/>
        <v>6.6033388093573375E-3</v>
      </c>
      <c r="X263" s="656">
        <f>51436-9313</f>
        <v>42123</v>
      </c>
      <c r="Y263" s="860">
        <f t="shared" si="358"/>
        <v>7.8251002867884487E-3</v>
      </c>
      <c r="Z263" s="1084">
        <f>59820+13600</f>
        <v>73420</v>
      </c>
      <c r="AA263" s="1050">
        <f t="shared" si="359"/>
        <v>1.4907614213197969E-2</v>
      </c>
      <c r="AB263" s="1144">
        <f t="shared" si="346"/>
        <v>5965</v>
      </c>
      <c r="AC263" s="1136"/>
      <c r="AD263" s="557">
        <v>57090</v>
      </c>
      <c r="AE263" s="748">
        <f t="shared" si="360"/>
        <v>1.2540414776030916E-2</v>
      </c>
      <c r="AF263" s="978">
        <f t="shared" si="361"/>
        <v>55987.649999999994</v>
      </c>
      <c r="AG263" s="782">
        <f t="shared" si="362"/>
        <v>1.1763693017548578E-2</v>
      </c>
      <c r="AH263" s="1001">
        <f t="shared" si="347"/>
        <v>1102.3500000000058</v>
      </c>
      <c r="AI263" s="451">
        <f t="shared" si="348"/>
        <v>1.9689163592328057E-2</v>
      </c>
      <c r="AJ263" s="1084">
        <f>56750+10705</f>
        <v>67455</v>
      </c>
      <c r="AK263" s="1050">
        <f t="shared" si="363"/>
        <v>1.260841121495327E-2</v>
      </c>
      <c r="AL263" s="840">
        <v>68970</v>
      </c>
      <c r="AM263" s="586">
        <f t="shared" si="364"/>
        <v>1.2316071428571428E-2</v>
      </c>
      <c r="AN263" s="978">
        <v>68970</v>
      </c>
      <c r="AO263" s="782">
        <f t="shared" si="365"/>
        <v>1.2316071428571428E-2</v>
      </c>
      <c r="AP263" s="1001">
        <f t="shared" si="370"/>
        <v>-385</v>
      </c>
      <c r="AQ263" s="451">
        <f t="shared" si="349"/>
        <v>-5.5821371610845294E-3</v>
      </c>
      <c r="AR263" s="1127">
        <v>44797</v>
      </c>
      <c r="AS263" s="748">
        <f t="shared" si="367"/>
        <v>9.3995213057145154E-3</v>
      </c>
      <c r="AT263" s="902">
        <v>53830</v>
      </c>
      <c r="AU263" s="748">
        <f t="shared" si="368"/>
        <v>1.0024161898687623E-2</v>
      </c>
      <c r="AV263" s="450">
        <f t="shared" si="350"/>
        <v>12293</v>
      </c>
      <c r="AW263" s="452">
        <f t="shared" si="351"/>
        <v>0.27441569747974193</v>
      </c>
    </row>
    <row r="264" spans="1:50" ht="18" hidden="1" customHeight="1" x14ac:dyDescent="0.25">
      <c r="A264" s="104">
        <v>36</v>
      </c>
      <c r="B264" s="107" t="s">
        <v>167</v>
      </c>
      <c r="C264" s="78" t="s">
        <v>5</v>
      </c>
      <c r="D264" s="56">
        <f>30290-8556</f>
        <v>21734</v>
      </c>
      <c r="E264" s="57">
        <f t="shared" si="371"/>
        <v>4.1287726931188307E-3</v>
      </c>
      <c r="F264" s="167">
        <f>31099-8894</f>
        <v>22205</v>
      </c>
      <c r="G264" s="166">
        <f t="shared" si="372"/>
        <v>4.3435914860520926E-3</v>
      </c>
      <c r="H264" s="126">
        <f>34710-9148</f>
        <v>25562</v>
      </c>
      <c r="I264" s="57">
        <f t="shared" si="373"/>
        <v>4.6859753096287239E-3</v>
      </c>
      <c r="J264" s="167">
        <f>33738-9014</f>
        <v>24724</v>
      </c>
      <c r="K264" s="166">
        <f t="shared" si="374"/>
        <v>4.4244248149316644E-3</v>
      </c>
      <c r="L264" s="306">
        <f>35328-9527</f>
        <v>25801</v>
      </c>
      <c r="M264" s="214">
        <f t="shared" si="375"/>
        <v>5.0281565855384907E-3</v>
      </c>
      <c r="N264" s="508">
        <v>34658</v>
      </c>
      <c r="O264" s="509">
        <f t="shared" si="354"/>
        <v>6.3797620649532595E-3</v>
      </c>
      <c r="P264" s="655">
        <v>28266</v>
      </c>
      <c r="Q264" s="356">
        <f t="shared" si="355"/>
        <v>4.866914024222996E-3</v>
      </c>
      <c r="R264" s="508">
        <v>30189</v>
      </c>
      <c r="S264" s="509">
        <f t="shared" si="356"/>
        <v>5.7073976108295548E-3</v>
      </c>
      <c r="T264" s="355">
        <f>31553-6761</f>
        <v>24792</v>
      </c>
      <c r="U264" s="356">
        <f t="shared" si="345"/>
        <v>5.099958528894828E-3</v>
      </c>
      <c r="V264" s="655">
        <f>28903-6172</f>
        <v>22731</v>
      </c>
      <c r="W264" s="860">
        <f t="shared" si="357"/>
        <v>4.2190318035669576E-3</v>
      </c>
      <c r="X264" s="656">
        <f>31278-6778</f>
        <v>24500</v>
      </c>
      <c r="Y264" s="860">
        <f t="shared" si="358"/>
        <v>4.5513129887785053E-3</v>
      </c>
      <c r="Z264" s="1084">
        <f>31595+7530</f>
        <v>39125</v>
      </c>
      <c r="AA264" s="1050">
        <f t="shared" si="359"/>
        <v>7.9441624365482241E-3</v>
      </c>
      <c r="AB264" s="1144">
        <f t="shared" si="346"/>
        <v>2000</v>
      </c>
      <c r="AC264" s="1136"/>
      <c r="AD264" s="557">
        <v>27349</v>
      </c>
      <c r="AE264" s="748">
        <f t="shared" si="360"/>
        <v>6.0074934964033898E-3</v>
      </c>
      <c r="AF264" s="978">
        <f t="shared" si="361"/>
        <v>30813.75</v>
      </c>
      <c r="AG264" s="782">
        <f t="shared" si="362"/>
        <v>6.4743473912458821E-3</v>
      </c>
      <c r="AH264" s="1001">
        <f t="shared" si="347"/>
        <v>-3464.75</v>
      </c>
      <c r="AI264" s="451">
        <f t="shared" si="348"/>
        <v>-0.11244168593566184</v>
      </c>
      <c r="AJ264" s="1084">
        <f>30770+6355</f>
        <v>37125</v>
      </c>
      <c r="AK264" s="1050">
        <f t="shared" si="363"/>
        <v>6.9392523364485981E-3</v>
      </c>
      <c r="AL264" s="840">
        <v>37725</v>
      </c>
      <c r="AM264" s="586">
        <f t="shared" si="364"/>
        <v>6.7366071428571431E-3</v>
      </c>
      <c r="AN264" s="978">
        <v>37725</v>
      </c>
      <c r="AO264" s="782">
        <f t="shared" si="365"/>
        <v>6.7366071428571431E-3</v>
      </c>
      <c r="AP264" s="1001">
        <f t="shared" si="370"/>
        <v>-4088.5</v>
      </c>
      <c r="AQ264" s="451">
        <f t="shared" si="349"/>
        <v>-0.1083764082173625</v>
      </c>
      <c r="AR264" s="1127">
        <v>20333</v>
      </c>
      <c r="AS264" s="748">
        <f t="shared" si="367"/>
        <v>4.2663675404400574E-3</v>
      </c>
      <c r="AT264" s="902">
        <v>25643</v>
      </c>
      <c r="AU264" s="748">
        <f t="shared" si="368"/>
        <v>4.7752105437125526E-3</v>
      </c>
      <c r="AV264" s="450">
        <f t="shared" si="350"/>
        <v>7016</v>
      </c>
      <c r="AW264" s="452">
        <f t="shared" si="351"/>
        <v>0.34505483696454042</v>
      </c>
    </row>
    <row r="265" spans="1:50" ht="18" hidden="1" customHeight="1" x14ac:dyDescent="0.25">
      <c r="A265" s="104">
        <v>37</v>
      </c>
      <c r="B265" s="107" t="s">
        <v>168</v>
      </c>
      <c r="C265" s="79" t="s">
        <v>196</v>
      </c>
      <c r="D265" s="58">
        <f>18422-5208</f>
        <v>13214</v>
      </c>
      <c r="E265" s="59">
        <f t="shared" si="371"/>
        <v>2.510242126017863E-3</v>
      </c>
      <c r="F265" s="168">
        <f>23047-6593</f>
        <v>16454</v>
      </c>
      <c r="G265" s="169">
        <f t="shared" si="372"/>
        <v>3.218619874420227E-3</v>
      </c>
      <c r="H265" s="127">
        <f>25660-6761</f>
        <v>18899</v>
      </c>
      <c r="I265" s="59">
        <f t="shared" si="373"/>
        <v>3.4645273208932501E-3</v>
      </c>
      <c r="J265" s="168">
        <f>27272-7288</f>
        <v>19984</v>
      </c>
      <c r="K265" s="169">
        <f t="shared" si="374"/>
        <v>3.5761893504932204E-3</v>
      </c>
      <c r="L265" s="308">
        <f>26997-7271</f>
        <v>19726</v>
      </c>
      <c r="M265" s="215">
        <f t="shared" si="375"/>
        <v>3.8442469984237924E-3</v>
      </c>
      <c r="N265" s="511">
        <v>24380</v>
      </c>
      <c r="O265" s="512">
        <f t="shared" si="354"/>
        <v>4.4878123129886453E-3</v>
      </c>
      <c r="P265" s="657">
        <v>21899</v>
      </c>
      <c r="Q265" s="359">
        <f t="shared" si="355"/>
        <v>3.7706272630177382E-3</v>
      </c>
      <c r="R265" s="511">
        <v>28067</v>
      </c>
      <c r="S265" s="512">
        <f t="shared" si="356"/>
        <v>5.3062217610107361E-3</v>
      </c>
      <c r="T265" s="358">
        <f>32285-8313</f>
        <v>23972</v>
      </c>
      <c r="U265" s="359">
        <f t="shared" si="345"/>
        <v>4.9312764542863352E-3</v>
      </c>
      <c r="V265" s="657">
        <f>33822-8920</f>
        <v>24902</v>
      </c>
      <c r="W265" s="861">
        <f t="shared" si="357"/>
        <v>4.6219845133264872E-3</v>
      </c>
      <c r="X265" s="662">
        <f>31056-9859</f>
        <v>21197</v>
      </c>
      <c r="Y265" s="861">
        <f t="shared" si="358"/>
        <v>3.937721690740326E-3</v>
      </c>
      <c r="Z265" s="1085">
        <f>21260+10630</f>
        <v>31890</v>
      </c>
      <c r="AA265" s="1053">
        <f t="shared" si="359"/>
        <v>6.4751269035532993E-3</v>
      </c>
      <c r="AB265" s="1144">
        <f t="shared" si="346"/>
        <v>3330</v>
      </c>
      <c r="AC265" s="495"/>
      <c r="AD265" s="557">
        <v>22822</v>
      </c>
      <c r="AE265" s="749">
        <f t="shared" si="360"/>
        <v>5.0130906641894825E-3</v>
      </c>
      <c r="AF265" s="978">
        <f t="shared" si="361"/>
        <v>23704.799999999999</v>
      </c>
      <c r="AG265" s="785">
        <f t="shared" si="362"/>
        <v>4.9806696698715793E-3</v>
      </c>
      <c r="AH265" s="1001">
        <f t="shared" si="347"/>
        <v>-882.79999999999927</v>
      </c>
      <c r="AI265" s="451">
        <f t="shared" si="348"/>
        <v>-3.7241402585130409E-2</v>
      </c>
      <c r="AJ265" s="1085">
        <f>20770+7790</f>
        <v>28560</v>
      </c>
      <c r="AK265" s="1053">
        <f t="shared" si="363"/>
        <v>5.3383177570093454E-3</v>
      </c>
      <c r="AL265" s="841">
        <v>28560</v>
      </c>
      <c r="AM265" s="589">
        <f t="shared" si="364"/>
        <v>5.1000000000000004E-3</v>
      </c>
      <c r="AN265" s="979">
        <v>28560</v>
      </c>
      <c r="AO265" s="785">
        <f t="shared" si="365"/>
        <v>5.1000000000000004E-3</v>
      </c>
      <c r="AP265" s="1001">
        <f t="shared" si="370"/>
        <v>-978</v>
      </c>
      <c r="AQ265" s="451">
        <f t="shared" si="349"/>
        <v>-3.42436974789916E-2</v>
      </c>
      <c r="AR265" s="1127">
        <v>17670</v>
      </c>
      <c r="AS265" s="749">
        <f t="shared" si="367"/>
        <v>3.7076041134891952E-3</v>
      </c>
      <c r="AT265" s="902">
        <v>21297</v>
      </c>
      <c r="AU265" s="749">
        <f t="shared" si="368"/>
        <v>3.9659033244724183E-3</v>
      </c>
      <c r="AV265" s="450">
        <f t="shared" si="350"/>
        <v>5152</v>
      </c>
      <c r="AW265" s="482">
        <f t="shared" si="351"/>
        <v>0.2915676287492926</v>
      </c>
    </row>
    <row r="266" spans="1:50" ht="18" hidden="1" customHeight="1" thickBot="1" x14ac:dyDescent="0.3">
      <c r="A266" s="100"/>
      <c r="B266" s="101"/>
      <c r="C266" s="85" t="s">
        <v>197</v>
      </c>
      <c r="D266" s="39">
        <f>SUM(D229:D265)</f>
        <v>882723</v>
      </c>
      <c r="E266" s="41">
        <f>D266/D$11</f>
        <v>0.16768945513885772</v>
      </c>
      <c r="F266" s="182">
        <f>SUM(F229:F265)</f>
        <v>829378</v>
      </c>
      <c r="G266" s="183">
        <f>F266/F$11</f>
        <v>0.16223729878490939</v>
      </c>
      <c r="H266" s="135">
        <f>SUM(H229:H265)</f>
        <v>902221</v>
      </c>
      <c r="I266" s="41">
        <f>H266/H$11</f>
        <v>0.16539337023036293</v>
      </c>
      <c r="J266" s="182">
        <f>SUM(J229:J265)</f>
        <v>862378</v>
      </c>
      <c r="K266" s="183">
        <f>J266/J$11</f>
        <v>0.15432481083364905</v>
      </c>
      <c r="L266" s="319">
        <f>SUM(L229:L265)</f>
        <v>895122</v>
      </c>
      <c r="M266" s="223">
        <f>L266/L$11</f>
        <v>0.17444337735593135</v>
      </c>
      <c r="N266" s="533">
        <f>SUM(N229:N265)</f>
        <v>962374</v>
      </c>
      <c r="O266" s="534">
        <f t="shared" si="354"/>
        <v>0.17715151299836485</v>
      </c>
      <c r="P266" s="675">
        <f>SUM(P229:P265)</f>
        <v>921478</v>
      </c>
      <c r="Q266" s="381">
        <f t="shared" si="355"/>
        <v>0.15866249915845743</v>
      </c>
      <c r="R266" s="533">
        <f>SUM(R229:R265)</f>
        <v>1155428</v>
      </c>
      <c r="S266" s="534">
        <f t="shared" si="356"/>
        <v>0.21844006117080961</v>
      </c>
      <c r="T266" s="380">
        <f>SUM(T229:T265)</f>
        <v>909478</v>
      </c>
      <c r="U266" s="381">
        <f t="shared" si="345"/>
        <v>0.18708858030583295</v>
      </c>
      <c r="V266" s="675">
        <f>SUM(V229:V265)</f>
        <v>911961</v>
      </c>
      <c r="W266" s="872">
        <f t="shared" si="357"/>
        <v>0.16926630868033637</v>
      </c>
      <c r="X266" s="891">
        <f>SUM(X229:X265)</f>
        <v>892634</v>
      </c>
      <c r="Y266" s="872">
        <f t="shared" si="358"/>
        <v>0.16582272320103317</v>
      </c>
      <c r="Z266" s="1081">
        <f>SUM(Z229:Z265)</f>
        <v>972825</v>
      </c>
      <c r="AA266" s="1082">
        <f t="shared" si="359"/>
        <v>0.19752791878172588</v>
      </c>
      <c r="AB266" s="1155">
        <f>SUM(AB229:AB265)</f>
        <v>-15910</v>
      </c>
      <c r="AC266" s="1137"/>
      <c r="AD266" s="558">
        <f>SUM(AD229:AD265)</f>
        <v>824883</v>
      </c>
      <c r="AE266" s="760">
        <f t="shared" si="360"/>
        <v>0.18119416643364356</v>
      </c>
      <c r="AF266" s="1176">
        <f>SUM(AF229:AF265)</f>
        <v>832866.15</v>
      </c>
      <c r="AG266" s="808">
        <f t="shared" si="362"/>
        <v>0.1749954090465945</v>
      </c>
      <c r="AH266" s="474">
        <f>SUM(AH229:AH265)</f>
        <v>-7983.1499999999933</v>
      </c>
      <c r="AI266" s="468">
        <f>AH266/AF266</f>
        <v>-9.585153628827385E-3</v>
      </c>
      <c r="AJ266" s="1081">
        <f>SUM(AJ229:AJ265)</f>
        <v>988735</v>
      </c>
      <c r="AK266" s="1082">
        <f t="shared" si="363"/>
        <v>0.18481028037383176</v>
      </c>
      <c r="AL266" s="613">
        <f>SUM(AL229:AL265)</f>
        <v>1001080</v>
      </c>
      <c r="AM266" s="614">
        <f t="shared" si="364"/>
        <v>0.17876428571428571</v>
      </c>
      <c r="AN266" s="807">
        <f>SUM(AN229:AN265)</f>
        <v>1001080</v>
      </c>
      <c r="AO266" s="808">
        <f t="shared" si="365"/>
        <v>0.17876428571428571</v>
      </c>
      <c r="AP266" s="474">
        <f>SUM(AP229:AP265)</f>
        <v>33435.333333333292</v>
      </c>
      <c r="AQ266" s="468">
        <f>AP266/AN266</f>
        <v>3.3399262130232643E-2</v>
      </c>
      <c r="AR266" s="739">
        <f>SUM(AR229:AR265)</f>
        <v>821967</v>
      </c>
      <c r="AS266" s="760">
        <f t="shared" si="367"/>
        <v>0.17246905661303755</v>
      </c>
      <c r="AT266" s="903">
        <f>SUM(AT229:AT265)</f>
        <v>983913</v>
      </c>
      <c r="AU266" s="255">
        <f t="shared" si="368"/>
        <v>0.18322316935209798</v>
      </c>
      <c r="AV266" s="474">
        <f>SUM(AV229:AV265)</f>
        <v>2916</v>
      </c>
      <c r="AW266" s="469">
        <f t="shared" si="351"/>
        <v>3.5475876768775389E-3</v>
      </c>
    </row>
    <row r="267" spans="1:50" customFormat="1" ht="18" hidden="1" customHeight="1" thickTop="1" x14ac:dyDescent="0.25">
      <c r="A267" s="96"/>
      <c r="B267" s="94"/>
      <c r="C267" s="42"/>
      <c r="D267" s="34"/>
      <c r="E267" s="42"/>
      <c r="F267" s="186"/>
      <c r="G267" s="188"/>
      <c r="H267" s="138"/>
      <c r="I267" s="42"/>
      <c r="J267" s="186"/>
      <c r="K267" s="188"/>
      <c r="L267" s="321"/>
      <c r="M267" s="226"/>
      <c r="N267" s="537"/>
      <c r="O267" s="540"/>
      <c r="P267" s="678"/>
      <c r="Q267" s="387"/>
      <c r="R267" s="537"/>
      <c r="S267" s="540"/>
      <c r="T267" s="384"/>
      <c r="U267" s="387"/>
      <c r="V267" s="670"/>
      <c r="W267" s="671"/>
      <c r="X267" s="888"/>
      <c r="Y267" s="671"/>
      <c r="Z267" s="1073"/>
      <c r="AA267" s="1074"/>
      <c r="AB267" s="1149"/>
      <c r="AC267" s="1130"/>
      <c r="AD267" s="640"/>
      <c r="AE267" s="641"/>
      <c r="AF267" s="974"/>
      <c r="AG267" s="975"/>
      <c r="AH267" s="642"/>
      <c r="AI267" s="643"/>
      <c r="AJ267" s="1073"/>
      <c r="AK267" s="1074"/>
      <c r="AL267" s="767"/>
      <c r="AM267" s="721"/>
      <c r="AN267" s="974"/>
      <c r="AO267" s="975"/>
      <c r="AP267" s="642"/>
      <c r="AQ267" s="643"/>
      <c r="AR267" s="640"/>
      <c r="AS267" s="641"/>
      <c r="AT267" s="899"/>
      <c r="AU267" s="641"/>
      <c r="AV267" s="642"/>
      <c r="AW267" s="643"/>
    </row>
    <row r="268" spans="1:50" customFormat="1" ht="18" hidden="1" customHeight="1" x14ac:dyDescent="0.25">
      <c r="A268" s="96"/>
      <c r="B268" s="94"/>
      <c r="C268" s="86" t="s">
        <v>20</v>
      </c>
      <c r="D268" s="25"/>
      <c r="E268" s="42"/>
      <c r="F268" s="154"/>
      <c r="G268" s="188"/>
      <c r="H268" s="139"/>
      <c r="I268" s="42"/>
      <c r="J268" s="189"/>
      <c r="K268" s="188"/>
      <c r="L268" s="323"/>
      <c r="M268" s="226"/>
      <c r="N268" s="542"/>
      <c r="O268" s="540"/>
      <c r="P268" s="681"/>
      <c r="Q268" s="387"/>
      <c r="R268" s="542"/>
      <c r="S268" s="540"/>
      <c r="T268" s="389"/>
      <c r="U268" s="387"/>
      <c r="V268" s="672"/>
      <c r="W268" s="673"/>
      <c r="X268" s="889"/>
      <c r="Y268" s="673"/>
      <c r="Z268" s="1075"/>
      <c r="AA268" s="1076"/>
      <c r="AB268" s="1149"/>
      <c r="AC268" s="1130"/>
      <c r="AD268" s="636"/>
      <c r="AE268" s="637"/>
      <c r="AF268" s="976"/>
      <c r="AG268" s="977"/>
      <c r="AH268" s="639"/>
      <c r="AI268" s="493"/>
      <c r="AJ268" s="1075"/>
      <c r="AK268" s="1076"/>
      <c r="AL268" s="720"/>
      <c r="AM268" s="719"/>
      <c r="AN268" s="976"/>
      <c r="AO268" s="977"/>
      <c r="AP268" s="639"/>
      <c r="AQ268" s="493"/>
      <c r="AR268" s="636"/>
      <c r="AS268" s="637"/>
      <c r="AT268" s="904"/>
      <c r="AU268" s="637"/>
      <c r="AV268" s="639"/>
      <c r="AW268" s="493"/>
    </row>
    <row r="269" spans="1:50" customFormat="1" ht="18" hidden="1" customHeight="1" x14ac:dyDescent="0.25">
      <c r="A269" s="100"/>
      <c r="B269" s="101"/>
      <c r="C269" s="78" t="s">
        <v>186</v>
      </c>
      <c r="D269" s="113">
        <v>0.87</v>
      </c>
      <c r="E269" s="65"/>
      <c r="F269" s="190">
        <v>0.87</v>
      </c>
      <c r="G269" s="191"/>
      <c r="H269" s="140">
        <f>32.5/37.5</f>
        <v>0.8666666666666667</v>
      </c>
      <c r="I269" s="65"/>
      <c r="J269" s="190">
        <f>32.5/37.5</f>
        <v>0.8666666666666667</v>
      </c>
      <c r="K269" s="191"/>
      <c r="L269" s="324">
        <f>32.5/37.5</f>
        <v>0.8666666666666667</v>
      </c>
      <c r="M269" s="227"/>
      <c r="N269" s="543">
        <f>32.5/37.5</f>
        <v>0.8666666666666667</v>
      </c>
      <c r="O269" s="544"/>
      <c r="P269" s="680">
        <f>32.5/37.5</f>
        <v>0.8666666666666667</v>
      </c>
      <c r="Q269" s="391"/>
      <c r="R269" s="543">
        <f>32.5/37.5</f>
        <v>0.8666666666666667</v>
      </c>
      <c r="S269" s="544"/>
      <c r="T269" s="390">
        <f>32.5/37.5</f>
        <v>0.8666666666666667</v>
      </c>
      <c r="U269" s="391"/>
      <c r="V269" s="680">
        <f>32.5/37.5</f>
        <v>0.8666666666666667</v>
      </c>
      <c r="W269" s="875"/>
      <c r="X269" s="680">
        <f>32.5/37.5</f>
        <v>0.8666666666666667</v>
      </c>
      <c r="Y269" s="875"/>
      <c r="Z269" s="1104">
        <f>32.5/37.5</f>
        <v>0.8666666666666667</v>
      </c>
      <c r="AA269" s="1105"/>
      <c r="AB269" s="1159"/>
      <c r="AC269" s="1140"/>
      <c r="AD269" s="437">
        <f>32.5/37.5</f>
        <v>0.8666666666666667</v>
      </c>
      <c r="AE269" s="564"/>
      <c r="AF269" s="1185">
        <f>32.5/37.5</f>
        <v>0.8666666666666667</v>
      </c>
      <c r="AG269" s="816"/>
      <c r="AH269" s="476"/>
      <c r="AI269" s="451"/>
      <c r="AJ269" s="1104">
        <f>32.5/37.5</f>
        <v>0.8666666666666667</v>
      </c>
      <c r="AK269" s="1105"/>
      <c r="AL269" s="625">
        <f>32.5/37.5</f>
        <v>0.8666666666666667</v>
      </c>
      <c r="AM269" s="626"/>
      <c r="AN269" s="815">
        <f>32.5/37.5</f>
        <v>0.8666666666666667</v>
      </c>
      <c r="AO269" s="816"/>
      <c r="AP269" s="476"/>
      <c r="AQ269" s="451"/>
      <c r="AR269" s="738">
        <f>32.5/37.5</f>
        <v>0.8666666666666667</v>
      </c>
      <c r="AS269" s="564"/>
      <c r="AT269" s="912">
        <f>32.5/37.5</f>
        <v>0.8666666666666667</v>
      </c>
      <c r="AU269" s="259"/>
      <c r="AV269" s="476"/>
      <c r="AW269" s="452"/>
    </row>
    <row r="270" spans="1:50" customFormat="1" ht="18" hidden="1" customHeight="1" x14ac:dyDescent="0.25">
      <c r="A270" s="115"/>
      <c r="B270" s="94"/>
      <c r="C270" s="86" t="s">
        <v>256</v>
      </c>
      <c r="D270" s="25"/>
      <c r="E270" s="42"/>
      <c r="F270" s="154"/>
      <c r="G270" s="188"/>
      <c r="H270" s="139"/>
      <c r="I270" s="42"/>
      <c r="J270" s="189"/>
      <c r="K270" s="188"/>
      <c r="L270" s="323"/>
      <c r="M270" s="226"/>
      <c r="N270" s="542"/>
      <c r="O270" s="540"/>
      <c r="P270" s="681"/>
      <c r="Q270" s="387"/>
      <c r="R270" s="542"/>
      <c r="S270" s="540"/>
      <c r="T270" s="389"/>
      <c r="U270" s="387"/>
      <c r="V270" s="681"/>
      <c r="W270" s="876"/>
      <c r="X270" s="681"/>
      <c r="Y270" s="876"/>
      <c r="Z270" s="1106"/>
      <c r="AA270" s="1107"/>
      <c r="AB270" s="1147"/>
      <c r="AC270" s="829"/>
      <c r="AD270" s="560"/>
      <c r="AE270" s="563"/>
      <c r="AF270" s="1186"/>
      <c r="AG270" s="818"/>
      <c r="AH270" s="457"/>
      <c r="AI270" s="458"/>
      <c r="AJ270" s="1106"/>
      <c r="AK270" s="1107"/>
      <c r="AL270" s="627"/>
      <c r="AM270" s="628"/>
      <c r="AN270" s="817"/>
      <c r="AO270" s="818"/>
      <c r="AP270" s="457"/>
      <c r="AQ270" s="458"/>
      <c r="AR270" s="741"/>
      <c r="AS270" s="563"/>
      <c r="AT270" s="913"/>
      <c r="AU270" s="258"/>
      <c r="AV270" s="457"/>
      <c r="AW270" s="452"/>
    </row>
    <row r="271" spans="1:50" customFormat="1" ht="18" hidden="1" customHeight="1" x14ac:dyDescent="0.25">
      <c r="A271" s="116">
        <v>1</v>
      </c>
      <c r="B271" s="107" t="s">
        <v>300</v>
      </c>
      <c r="C271" s="89" t="s">
        <v>324</v>
      </c>
      <c r="D271" s="64">
        <v>7725</v>
      </c>
      <c r="E271" s="65"/>
      <c r="F271" s="196">
        <v>10662</v>
      </c>
      <c r="G271" s="191"/>
      <c r="H271" s="143">
        <v>13101</v>
      </c>
      <c r="I271" s="65"/>
      <c r="J271" s="196">
        <v>8643</v>
      </c>
      <c r="K271" s="191"/>
      <c r="L271" s="325">
        <v>14809</v>
      </c>
      <c r="M271" s="227"/>
      <c r="N271" s="545">
        <v>0</v>
      </c>
      <c r="O271" s="544"/>
      <c r="P271" s="706">
        <v>0</v>
      </c>
      <c r="Q271" s="391"/>
      <c r="R271" s="545">
        <v>4554</v>
      </c>
      <c r="S271" s="544"/>
      <c r="T271" s="392">
        <v>2458</v>
      </c>
      <c r="U271" s="391"/>
      <c r="V271" s="682">
        <v>1926</v>
      </c>
      <c r="W271" s="875"/>
      <c r="X271" s="682">
        <v>2731</v>
      </c>
      <c r="Y271" s="875"/>
      <c r="Z271" s="1108">
        <v>2700</v>
      </c>
      <c r="AA271" s="1105"/>
      <c r="AB271" s="1170">
        <f t="shared" ref="AB271:AB280" si="376">Z271-AJ271</f>
        <v>0</v>
      </c>
      <c r="AC271" s="1140"/>
      <c r="AD271" s="963">
        <v>1913</v>
      </c>
      <c r="AE271" s="564"/>
      <c r="AF271" s="978">
        <f t="shared" ref="AF271:AF280" si="377">AJ271*$AX$3</f>
        <v>2241</v>
      </c>
      <c r="AG271" s="816"/>
      <c r="AH271" s="1001">
        <f t="shared" ref="AH271:AH280" si="378">AD271-AF271</f>
        <v>-328</v>
      </c>
      <c r="AI271" s="451">
        <f t="shared" ref="AI271:AI276" si="379">AH271/AF271</f>
        <v>-0.1463632307005801</v>
      </c>
      <c r="AJ271" s="1108">
        <v>2700</v>
      </c>
      <c r="AK271" s="1105"/>
      <c r="AL271" s="846">
        <v>2700</v>
      </c>
      <c r="AM271" s="626"/>
      <c r="AN271" s="992">
        <v>2700</v>
      </c>
      <c r="AO271" s="816"/>
      <c r="AP271" s="1001">
        <f t="shared" ref="AP271:AP280" si="380">$AD271-(AL271/12*$AX$1)</f>
        <v>-337</v>
      </c>
      <c r="AQ271" s="451">
        <f t="shared" ref="AQ271:AQ280" si="381">AP271/AN271</f>
        <v>-0.12481481481481481</v>
      </c>
      <c r="AR271" s="1023">
        <v>1965</v>
      </c>
      <c r="AS271" s="564"/>
      <c r="AT271" s="894">
        <v>2833</v>
      </c>
      <c r="AU271" s="564"/>
      <c r="AV271" s="450">
        <f t="shared" ref="AV271:AV280" si="382">AD271-AR271</f>
        <v>-52</v>
      </c>
      <c r="AW271" s="452">
        <f t="shared" ref="AW271:AW281" si="383">AV271/AR271</f>
        <v>-2.6463104325699746E-2</v>
      </c>
    </row>
    <row r="272" spans="1:50" customFormat="1" ht="18" hidden="1" customHeight="1" x14ac:dyDescent="0.25">
      <c r="A272" s="116">
        <v>2</v>
      </c>
      <c r="B272" s="107" t="s">
        <v>300</v>
      </c>
      <c r="C272" s="89" t="s">
        <v>261</v>
      </c>
      <c r="D272" s="64">
        <v>7725</v>
      </c>
      <c r="E272" s="65"/>
      <c r="F272" s="196">
        <v>10662</v>
      </c>
      <c r="G272" s="191"/>
      <c r="H272" s="143">
        <v>13101</v>
      </c>
      <c r="I272" s="65"/>
      <c r="J272" s="196">
        <v>8643</v>
      </c>
      <c r="K272" s="191"/>
      <c r="L272" s="325">
        <v>14809</v>
      </c>
      <c r="M272" s="227"/>
      <c r="N272" s="545">
        <v>12109</v>
      </c>
      <c r="O272" s="544"/>
      <c r="P272" s="706">
        <v>12361</v>
      </c>
      <c r="Q272" s="391"/>
      <c r="R272" s="545">
        <v>18603</v>
      </c>
      <c r="S272" s="544"/>
      <c r="T272" s="392">
        <v>24477</v>
      </c>
      <c r="U272" s="391"/>
      <c r="V272" s="682">
        <v>19301</v>
      </c>
      <c r="W272" s="875"/>
      <c r="X272" s="682">
        <v>54376</v>
      </c>
      <c r="Y272" s="875"/>
      <c r="Z272" s="1108">
        <v>37500</v>
      </c>
      <c r="AA272" s="1105"/>
      <c r="AB272" s="1144">
        <f t="shared" si="376"/>
        <v>1000</v>
      </c>
      <c r="AC272" s="1141"/>
      <c r="AD272" s="938">
        <v>27079</v>
      </c>
      <c r="AE272" s="564"/>
      <c r="AF272" s="978">
        <f t="shared" si="377"/>
        <v>30295</v>
      </c>
      <c r="AG272" s="816"/>
      <c r="AH272" s="1001">
        <f t="shared" si="378"/>
        <v>-3216</v>
      </c>
      <c r="AI272" s="451">
        <f t="shared" si="379"/>
        <v>-0.10615613137481432</v>
      </c>
      <c r="AJ272" s="1108">
        <v>36500</v>
      </c>
      <c r="AK272" s="1105"/>
      <c r="AL272" s="846">
        <v>36500</v>
      </c>
      <c r="AM272" s="626"/>
      <c r="AN272" s="992">
        <v>36500</v>
      </c>
      <c r="AO272" s="816"/>
      <c r="AP272" s="1001">
        <f t="shared" si="380"/>
        <v>-3337.6666666666642</v>
      </c>
      <c r="AQ272" s="451">
        <f t="shared" si="381"/>
        <v>-9.1442922374429164E-2</v>
      </c>
      <c r="AR272" s="1024">
        <v>22451</v>
      </c>
      <c r="AS272" s="564"/>
      <c r="AT272" s="902">
        <v>34576</v>
      </c>
      <c r="AU272" s="564"/>
      <c r="AV272" s="450">
        <f t="shared" si="382"/>
        <v>4628</v>
      </c>
      <c r="AW272" s="452">
        <f t="shared" si="383"/>
        <v>0.20613781123335265</v>
      </c>
    </row>
    <row r="273" spans="1:50" customFormat="1" ht="18" hidden="1" customHeight="1" x14ac:dyDescent="0.25">
      <c r="A273" s="104">
        <v>3</v>
      </c>
      <c r="B273" s="107" t="s">
        <v>301</v>
      </c>
      <c r="C273" s="88" t="s">
        <v>257</v>
      </c>
      <c r="D273" s="62">
        <v>7655</v>
      </c>
      <c r="E273" s="63"/>
      <c r="F273" s="194">
        <v>8302</v>
      </c>
      <c r="G273" s="195"/>
      <c r="H273" s="142">
        <v>8974</v>
      </c>
      <c r="I273" s="63"/>
      <c r="J273" s="194">
        <v>7968</v>
      </c>
      <c r="K273" s="195"/>
      <c r="L273" s="326">
        <v>8803</v>
      </c>
      <c r="M273" s="229"/>
      <c r="N273" s="546">
        <v>10905</v>
      </c>
      <c r="O273" s="547"/>
      <c r="P273" s="707">
        <v>11019</v>
      </c>
      <c r="Q273" s="394"/>
      <c r="R273" s="546">
        <v>17032</v>
      </c>
      <c r="S273" s="547"/>
      <c r="T273" s="393">
        <v>18755</v>
      </c>
      <c r="U273" s="394"/>
      <c r="V273" s="683">
        <v>16643</v>
      </c>
      <c r="W273" s="877"/>
      <c r="X273" s="683">
        <v>18824</v>
      </c>
      <c r="Y273" s="877"/>
      <c r="Z273" s="1109">
        <v>25000</v>
      </c>
      <c r="AA273" s="1110"/>
      <c r="AB273" s="1144">
        <f t="shared" si="376"/>
        <v>-500</v>
      </c>
      <c r="AC273" s="1141"/>
      <c r="AD273" s="938">
        <v>22032</v>
      </c>
      <c r="AE273" s="565"/>
      <c r="AF273" s="978">
        <f t="shared" si="377"/>
        <v>21165</v>
      </c>
      <c r="AG273" s="819"/>
      <c r="AH273" s="1001">
        <f t="shared" si="378"/>
        <v>867</v>
      </c>
      <c r="AI273" s="451">
        <f t="shared" si="379"/>
        <v>4.0963855421686748E-2</v>
      </c>
      <c r="AJ273" s="1109">
        <v>25500</v>
      </c>
      <c r="AK273" s="1110"/>
      <c r="AL273" s="847">
        <v>25500</v>
      </c>
      <c r="AM273" s="629"/>
      <c r="AN273" s="993">
        <v>25500</v>
      </c>
      <c r="AO273" s="819"/>
      <c r="AP273" s="1001">
        <f t="shared" si="380"/>
        <v>782</v>
      </c>
      <c r="AQ273" s="451">
        <f t="shared" si="381"/>
        <v>3.0666666666666665E-2</v>
      </c>
      <c r="AR273" s="1024">
        <v>24781</v>
      </c>
      <c r="AS273" s="565"/>
      <c r="AT273" s="902">
        <v>26943</v>
      </c>
      <c r="AU273" s="565"/>
      <c r="AV273" s="450">
        <f t="shared" si="382"/>
        <v>-2749</v>
      </c>
      <c r="AW273" s="452">
        <f t="shared" si="383"/>
        <v>-0.11093176223719785</v>
      </c>
    </row>
    <row r="274" spans="1:50" customFormat="1" ht="18" hidden="1" customHeight="1" x14ac:dyDescent="0.25">
      <c r="A274" s="116">
        <v>4</v>
      </c>
      <c r="B274" s="107"/>
      <c r="C274" s="89" t="s">
        <v>352</v>
      </c>
      <c r="D274" s="62"/>
      <c r="E274" s="63"/>
      <c r="F274" s="194"/>
      <c r="G274" s="195"/>
      <c r="H274" s="142"/>
      <c r="I274" s="63"/>
      <c r="J274" s="194"/>
      <c r="K274" s="195"/>
      <c r="L274" s="326"/>
      <c r="M274" s="229"/>
      <c r="N274" s="546">
        <v>0</v>
      </c>
      <c r="O274" s="547"/>
      <c r="P274" s="707">
        <v>0</v>
      </c>
      <c r="Q274" s="394"/>
      <c r="R274" s="546"/>
      <c r="S274" s="547"/>
      <c r="T274" s="393">
        <v>0</v>
      </c>
      <c r="U274" s="394"/>
      <c r="V274" s="683">
        <v>-5142</v>
      </c>
      <c r="W274" s="877"/>
      <c r="X274" s="683">
        <f>-10880+2460</f>
        <v>-8420</v>
      </c>
      <c r="Y274" s="877"/>
      <c r="Z274" s="1109">
        <v>15000</v>
      </c>
      <c r="AA274" s="1110"/>
      <c r="AB274" s="1144">
        <f t="shared" si="376"/>
        <v>0</v>
      </c>
      <c r="AC274" s="1141"/>
      <c r="AD274" s="1006">
        <f>16264+1815</f>
        <v>18079</v>
      </c>
      <c r="AE274" s="565"/>
      <c r="AF274" s="978">
        <f t="shared" si="377"/>
        <v>12450</v>
      </c>
      <c r="AG274" s="819"/>
      <c r="AH274" s="1001">
        <f t="shared" si="378"/>
        <v>5629</v>
      </c>
      <c r="AI274" s="451">
        <f t="shared" si="379"/>
        <v>0.45212851405622489</v>
      </c>
      <c r="AJ274" s="1109">
        <v>15000</v>
      </c>
      <c r="AK274" s="1110"/>
      <c r="AL274" s="847">
        <v>10000</v>
      </c>
      <c r="AM274" s="629"/>
      <c r="AN274" s="993">
        <v>10000</v>
      </c>
      <c r="AO274" s="819"/>
      <c r="AP274" s="1001">
        <f t="shared" si="380"/>
        <v>9745.6666666666661</v>
      </c>
      <c r="AQ274" s="451">
        <f t="shared" si="381"/>
        <v>0.97456666666666658</v>
      </c>
      <c r="AR274" s="1024">
        <v>8197</v>
      </c>
      <c r="AS274" s="565"/>
      <c r="AT274" s="902">
        <f>3556+2340</f>
        <v>5896</v>
      </c>
      <c r="AU274" s="565"/>
      <c r="AV274" s="450">
        <f t="shared" si="382"/>
        <v>9882</v>
      </c>
      <c r="AW274" s="452">
        <f t="shared" si="383"/>
        <v>1.2055630108576307</v>
      </c>
    </row>
    <row r="275" spans="1:50" customFormat="1" ht="18" hidden="1" customHeight="1" x14ac:dyDescent="0.25">
      <c r="A275" s="116">
        <v>5</v>
      </c>
      <c r="B275" s="107" t="s">
        <v>304</v>
      </c>
      <c r="C275" s="89" t="s">
        <v>260</v>
      </c>
      <c r="D275" s="64">
        <v>13549</v>
      </c>
      <c r="E275" s="65"/>
      <c r="F275" s="196">
        <v>18278</v>
      </c>
      <c r="G275" s="191"/>
      <c r="H275" s="143">
        <v>16504</v>
      </c>
      <c r="I275" s="65"/>
      <c r="J275" s="196">
        <v>19024</v>
      </c>
      <c r="K275" s="191"/>
      <c r="L275" s="325">
        <v>18450</v>
      </c>
      <c r="M275" s="227"/>
      <c r="N275" s="545">
        <v>18553</v>
      </c>
      <c r="O275" s="544"/>
      <c r="P275" s="706">
        <v>23385</v>
      </c>
      <c r="Q275" s="391"/>
      <c r="R275" s="545">
        <v>27737</v>
      </c>
      <c r="S275" s="544"/>
      <c r="T275" s="392">
        <v>22285</v>
      </c>
      <c r="U275" s="391"/>
      <c r="V275" s="682">
        <v>26714</v>
      </c>
      <c r="W275" s="875"/>
      <c r="X275" s="682">
        <v>22581</v>
      </c>
      <c r="Y275" s="875"/>
      <c r="Z275" s="1108">
        <v>20000</v>
      </c>
      <c r="AA275" s="1105"/>
      <c r="AB275" s="1144">
        <f t="shared" si="376"/>
        <v>-5500</v>
      </c>
      <c r="AC275" s="1141"/>
      <c r="AD275" s="938">
        <v>16147</v>
      </c>
      <c r="AE275" s="564"/>
      <c r="AF275" s="978">
        <f t="shared" si="377"/>
        <v>21165</v>
      </c>
      <c r="AG275" s="816"/>
      <c r="AH275" s="1001">
        <f t="shared" si="378"/>
        <v>-5018</v>
      </c>
      <c r="AI275" s="451">
        <f t="shared" si="379"/>
        <v>-0.23708953460902432</v>
      </c>
      <c r="AJ275" s="1108">
        <v>25500</v>
      </c>
      <c r="AK275" s="1105"/>
      <c r="AL275" s="846">
        <v>25500</v>
      </c>
      <c r="AM275" s="626"/>
      <c r="AN275" s="992">
        <v>25500</v>
      </c>
      <c r="AO275" s="816"/>
      <c r="AP275" s="1001">
        <f t="shared" si="380"/>
        <v>-5103</v>
      </c>
      <c r="AQ275" s="451">
        <f t="shared" si="381"/>
        <v>-0.20011764705882354</v>
      </c>
      <c r="AR275" s="1024">
        <v>17368</v>
      </c>
      <c r="AS275" s="564"/>
      <c r="AT275" s="902">
        <v>20075</v>
      </c>
      <c r="AU275" s="564"/>
      <c r="AV275" s="450">
        <f t="shared" si="382"/>
        <v>-1221</v>
      </c>
      <c r="AW275" s="452">
        <f t="shared" si="383"/>
        <v>-7.0301704283740218E-2</v>
      </c>
    </row>
    <row r="276" spans="1:50" customFormat="1" ht="18" hidden="1" customHeight="1" x14ac:dyDescent="0.25">
      <c r="A276" s="104">
        <v>6</v>
      </c>
      <c r="B276" s="107" t="s">
        <v>303</v>
      </c>
      <c r="C276" s="90" t="s">
        <v>262</v>
      </c>
      <c r="D276" s="66">
        <v>0</v>
      </c>
      <c r="E276" s="67"/>
      <c r="F276" s="192">
        <v>0</v>
      </c>
      <c r="G276" s="193"/>
      <c r="H276" s="141">
        <v>0</v>
      </c>
      <c r="I276" s="67"/>
      <c r="J276" s="192">
        <v>1245</v>
      </c>
      <c r="K276" s="193"/>
      <c r="L276" s="327">
        <v>3275</v>
      </c>
      <c r="M276" s="228"/>
      <c r="N276" s="548">
        <v>5287</v>
      </c>
      <c r="O276" s="549"/>
      <c r="P276" s="708">
        <v>5936</v>
      </c>
      <c r="Q276" s="396"/>
      <c r="R276" s="548">
        <v>6136</v>
      </c>
      <c r="S276" s="549"/>
      <c r="T276" s="395">
        <v>7227</v>
      </c>
      <c r="U276" s="396"/>
      <c r="V276" s="684">
        <v>7981</v>
      </c>
      <c r="W276" s="878"/>
      <c r="X276" s="684">
        <v>9237</v>
      </c>
      <c r="Y276" s="878"/>
      <c r="Z276" s="1111">
        <v>13000</v>
      </c>
      <c r="AA276" s="1112"/>
      <c r="AB276" s="1144">
        <f t="shared" si="376"/>
        <v>1000</v>
      </c>
      <c r="AC276" s="829"/>
      <c r="AD276" s="938">
        <v>12107</v>
      </c>
      <c r="AE276" s="566"/>
      <c r="AF276" s="978">
        <f t="shared" si="377"/>
        <v>9960</v>
      </c>
      <c r="AG276" s="820"/>
      <c r="AH276" s="1001">
        <f t="shared" si="378"/>
        <v>2147</v>
      </c>
      <c r="AI276" s="451">
        <f t="shared" si="379"/>
        <v>0.21556224899598395</v>
      </c>
      <c r="AJ276" s="1111">
        <v>12000</v>
      </c>
      <c r="AK276" s="1112"/>
      <c r="AL276" s="848">
        <v>12000</v>
      </c>
      <c r="AM276" s="630"/>
      <c r="AN276" s="994">
        <v>12000</v>
      </c>
      <c r="AO276" s="820"/>
      <c r="AP276" s="1001">
        <f t="shared" si="380"/>
        <v>2107</v>
      </c>
      <c r="AQ276" s="451">
        <f t="shared" si="381"/>
        <v>0.17558333333333334</v>
      </c>
      <c r="AR276" s="1024">
        <v>9595</v>
      </c>
      <c r="AS276" s="566"/>
      <c r="AT276" s="902">
        <v>9851</v>
      </c>
      <c r="AU276" s="566"/>
      <c r="AV276" s="450">
        <f t="shared" si="382"/>
        <v>2512</v>
      </c>
      <c r="AW276" s="452">
        <f t="shared" si="383"/>
        <v>0.26180302240750392</v>
      </c>
    </row>
    <row r="277" spans="1:50" customFormat="1" ht="18" hidden="1" customHeight="1" x14ac:dyDescent="0.25">
      <c r="A277" s="116">
        <v>7</v>
      </c>
      <c r="B277" s="107" t="s">
        <v>302</v>
      </c>
      <c r="C277" s="89" t="s">
        <v>259</v>
      </c>
      <c r="D277" s="64">
        <v>25479</v>
      </c>
      <c r="E277" s="65"/>
      <c r="F277" s="196">
        <v>28222</v>
      </c>
      <c r="G277" s="191"/>
      <c r="H277" s="143">
        <v>30277</v>
      </c>
      <c r="I277" s="65"/>
      <c r="J277" s="196">
        <v>42057</v>
      </c>
      <c r="K277" s="191"/>
      <c r="L277" s="325">
        <v>36618</v>
      </c>
      <c r="M277" s="227"/>
      <c r="N277" s="545">
        <v>37767</v>
      </c>
      <c r="O277" s="544"/>
      <c r="P277" s="706">
        <v>25000</v>
      </c>
      <c r="Q277" s="391"/>
      <c r="R277" s="545">
        <v>25875</v>
      </c>
      <c r="S277" s="544"/>
      <c r="T277" s="392">
        <v>27168</v>
      </c>
      <c r="U277" s="391"/>
      <c r="V277" s="682">
        <v>27168</v>
      </c>
      <c r="W277" s="875"/>
      <c r="X277" s="682">
        <v>27574</v>
      </c>
      <c r="Y277" s="875"/>
      <c r="Z277" s="1108">
        <v>0</v>
      </c>
      <c r="AA277" s="1105"/>
      <c r="AB277" s="1144">
        <f t="shared" si="376"/>
        <v>0</v>
      </c>
      <c r="AC277" s="1141"/>
      <c r="AD277" s="557">
        <v>0</v>
      </c>
      <c r="AE277" s="564"/>
      <c r="AF277" s="978">
        <f t="shared" si="377"/>
        <v>0</v>
      </c>
      <c r="AG277" s="816"/>
      <c r="AH277" s="1001">
        <f t="shared" si="378"/>
        <v>0</v>
      </c>
      <c r="AI277" s="451">
        <v>0</v>
      </c>
      <c r="AJ277" s="1108">
        <v>0</v>
      </c>
      <c r="AK277" s="1105"/>
      <c r="AL277" s="846">
        <v>0</v>
      </c>
      <c r="AM277" s="626"/>
      <c r="AN277" s="992">
        <v>0</v>
      </c>
      <c r="AO277" s="816"/>
      <c r="AP277" s="1001">
        <f t="shared" si="380"/>
        <v>0</v>
      </c>
      <c r="AQ277" s="451">
        <v>0</v>
      </c>
      <c r="AR277" s="1024">
        <v>0</v>
      </c>
      <c r="AS277" s="564"/>
      <c r="AT277" s="902">
        <v>0</v>
      </c>
      <c r="AU277" s="564"/>
      <c r="AV277" s="450">
        <f t="shared" si="382"/>
        <v>0</v>
      </c>
      <c r="AW277" s="452">
        <v>0</v>
      </c>
    </row>
    <row r="278" spans="1:50" customFormat="1" ht="18" hidden="1" customHeight="1" x14ac:dyDescent="0.25">
      <c r="A278" s="116">
        <v>8</v>
      </c>
      <c r="B278" s="107" t="s">
        <v>306</v>
      </c>
      <c r="C278" s="89" t="s">
        <v>258</v>
      </c>
      <c r="D278" s="64">
        <v>7641</v>
      </c>
      <c r="E278" s="65"/>
      <c r="F278" s="196">
        <v>4891</v>
      </c>
      <c r="G278" s="191"/>
      <c r="H278" s="143">
        <v>7169</v>
      </c>
      <c r="I278" s="65"/>
      <c r="J278" s="196">
        <v>8374</v>
      </c>
      <c r="K278" s="191"/>
      <c r="L278" s="325">
        <v>8916</v>
      </c>
      <c r="M278" s="227"/>
      <c r="N278" s="545">
        <v>11538</v>
      </c>
      <c r="O278" s="544"/>
      <c r="P278" s="706">
        <v>9998</v>
      </c>
      <c r="Q278" s="391"/>
      <c r="R278" s="545">
        <v>20637</v>
      </c>
      <c r="S278" s="544"/>
      <c r="T278" s="392">
        <v>24479</v>
      </c>
      <c r="U278" s="391"/>
      <c r="V278" s="682">
        <v>22951</v>
      </c>
      <c r="W278" s="875"/>
      <c r="X278" s="682">
        <v>30551</v>
      </c>
      <c r="Y278" s="875"/>
      <c r="Z278" s="1108">
        <v>32500</v>
      </c>
      <c r="AA278" s="1105"/>
      <c r="AB278" s="1144">
        <f t="shared" si="376"/>
        <v>0</v>
      </c>
      <c r="AC278" s="1141"/>
      <c r="AD278" s="938">
        <v>29597</v>
      </c>
      <c r="AE278" s="564"/>
      <c r="AF278" s="978">
        <f t="shared" si="377"/>
        <v>26975</v>
      </c>
      <c r="AG278" s="816"/>
      <c r="AH278" s="1001">
        <f t="shared" si="378"/>
        <v>2622</v>
      </c>
      <c r="AI278" s="451">
        <f t="shared" ref="AI278:AI280" si="384">AH278/AF278</f>
        <v>9.7201112140871182E-2</v>
      </c>
      <c r="AJ278" s="1108">
        <v>32500</v>
      </c>
      <c r="AK278" s="1105"/>
      <c r="AL278" s="846">
        <v>32500</v>
      </c>
      <c r="AM278" s="626"/>
      <c r="AN278" s="992">
        <v>32500</v>
      </c>
      <c r="AO278" s="816"/>
      <c r="AP278" s="1001">
        <f t="shared" si="380"/>
        <v>2513.6666666666642</v>
      </c>
      <c r="AQ278" s="451">
        <f t="shared" si="381"/>
        <v>7.7343589743589666E-2</v>
      </c>
      <c r="AR278" s="1024">
        <v>29181</v>
      </c>
      <c r="AS278" s="564"/>
      <c r="AT278" s="902">
        <v>31255</v>
      </c>
      <c r="AU278" s="564"/>
      <c r="AV278" s="450">
        <f t="shared" si="382"/>
        <v>416</v>
      </c>
      <c r="AW278" s="452">
        <f t="shared" si="383"/>
        <v>1.4255851410164147E-2</v>
      </c>
    </row>
    <row r="279" spans="1:50" customFormat="1" ht="18" hidden="1" customHeight="1" x14ac:dyDescent="0.25">
      <c r="A279" s="104">
        <v>9</v>
      </c>
      <c r="B279" s="107" t="s">
        <v>305</v>
      </c>
      <c r="C279" s="89" t="s">
        <v>263</v>
      </c>
      <c r="D279" s="64">
        <v>2381</v>
      </c>
      <c r="E279" s="65"/>
      <c r="F279" s="196">
        <v>3340</v>
      </c>
      <c r="G279" s="191"/>
      <c r="H279" s="143">
        <v>4377</v>
      </c>
      <c r="I279" s="65"/>
      <c r="J279" s="196">
        <v>4701</v>
      </c>
      <c r="K279" s="191"/>
      <c r="L279" s="325">
        <v>6519</v>
      </c>
      <c r="M279" s="227"/>
      <c r="N279" s="545">
        <v>6376</v>
      </c>
      <c r="O279" s="544"/>
      <c r="P279" s="706">
        <v>6018</v>
      </c>
      <c r="Q279" s="391"/>
      <c r="R279" s="545">
        <v>13036</v>
      </c>
      <c r="S279" s="544"/>
      <c r="T279" s="392">
        <v>18314</v>
      </c>
      <c r="U279" s="391"/>
      <c r="V279" s="682">
        <v>18203</v>
      </c>
      <c r="W279" s="875"/>
      <c r="X279" s="682">
        <v>21325</v>
      </c>
      <c r="Y279" s="875"/>
      <c r="Z279" s="1108">
        <v>25000</v>
      </c>
      <c r="AA279" s="1105"/>
      <c r="AB279" s="1144">
        <f t="shared" si="376"/>
        <v>0</v>
      </c>
      <c r="AC279" s="1141"/>
      <c r="AD279" s="938">
        <v>19696</v>
      </c>
      <c r="AE279" s="564"/>
      <c r="AF279" s="978">
        <f t="shared" si="377"/>
        <v>20750</v>
      </c>
      <c r="AG279" s="816"/>
      <c r="AH279" s="1001">
        <f t="shared" si="378"/>
        <v>-1054</v>
      </c>
      <c r="AI279" s="451">
        <f t="shared" si="384"/>
        <v>-5.0795180722891568E-2</v>
      </c>
      <c r="AJ279" s="1108">
        <v>25000</v>
      </c>
      <c r="AK279" s="1105"/>
      <c r="AL279" s="846">
        <v>25000</v>
      </c>
      <c r="AM279" s="626"/>
      <c r="AN279" s="992">
        <v>25000</v>
      </c>
      <c r="AO279" s="816"/>
      <c r="AP279" s="1001">
        <f t="shared" si="380"/>
        <v>-1137.3333333333358</v>
      </c>
      <c r="AQ279" s="451">
        <f t="shared" si="381"/>
        <v>-4.5493333333333427E-2</v>
      </c>
      <c r="AR279" s="1024">
        <v>20015</v>
      </c>
      <c r="AS279" s="564"/>
      <c r="AT279" s="902">
        <v>21901</v>
      </c>
      <c r="AU279" s="564"/>
      <c r="AV279" s="450">
        <f t="shared" si="382"/>
        <v>-319</v>
      </c>
      <c r="AW279" s="452">
        <f t="shared" si="383"/>
        <v>-1.5938046465151137E-2</v>
      </c>
    </row>
    <row r="280" spans="1:50" customFormat="1" ht="18" hidden="1" customHeight="1" x14ac:dyDescent="0.25">
      <c r="A280" s="116">
        <v>10</v>
      </c>
      <c r="B280" s="107" t="s">
        <v>306</v>
      </c>
      <c r="C280" s="89" t="s">
        <v>315</v>
      </c>
      <c r="D280" s="64">
        <v>0</v>
      </c>
      <c r="E280" s="65"/>
      <c r="F280" s="196">
        <v>0</v>
      </c>
      <c r="G280" s="191"/>
      <c r="H280" s="143">
        <v>0</v>
      </c>
      <c r="I280" s="65"/>
      <c r="J280" s="196">
        <v>0</v>
      </c>
      <c r="K280" s="191"/>
      <c r="L280" s="325">
        <v>475</v>
      </c>
      <c r="M280" s="227"/>
      <c r="N280" s="545">
        <v>1568</v>
      </c>
      <c r="O280" s="544"/>
      <c r="P280" s="706">
        <v>1271</v>
      </c>
      <c r="Q280" s="391"/>
      <c r="R280" s="545">
        <v>1695</v>
      </c>
      <c r="S280" s="544"/>
      <c r="T280" s="392">
        <v>2701</v>
      </c>
      <c r="U280" s="391"/>
      <c r="V280" s="682">
        <v>3173</v>
      </c>
      <c r="W280" s="875"/>
      <c r="X280" s="682">
        <v>3764</v>
      </c>
      <c r="Y280" s="875"/>
      <c r="Z280" s="1113">
        <v>8000</v>
      </c>
      <c r="AA280" s="1105"/>
      <c r="AB280" s="1144">
        <f t="shared" si="376"/>
        <v>4000</v>
      </c>
      <c r="AC280" s="1141"/>
      <c r="AD280" s="557">
        <v>7463</v>
      </c>
      <c r="AE280" s="564"/>
      <c r="AF280" s="978">
        <f t="shared" si="377"/>
        <v>3320</v>
      </c>
      <c r="AG280" s="816"/>
      <c r="AH280" s="1001">
        <f t="shared" si="378"/>
        <v>4143</v>
      </c>
      <c r="AI280" s="451">
        <f t="shared" si="384"/>
        <v>1.2478915662650603</v>
      </c>
      <c r="AJ280" s="1113">
        <v>4000</v>
      </c>
      <c r="AK280" s="1105"/>
      <c r="AL280" s="849">
        <v>4000</v>
      </c>
      <c r="AM280" s="626"/>
      <c r="AN280" s="995">
        <v>4000</v>
      </c>
      <c r="AO280" s="816"/>
      <c r="AP280" s="1001">
        <f t="shared" si="380"/>
        <v>4129.666666666667</v>
      </c>
      <c r="AQ280" s="451">
        <f t="shared" si="381"/>
        <v>1.0324166666666668</v>
      </c>
      <c r="AR280" s="1024">
        <v>3715</v>
      </c>
      <c r="AS280" s="564"/>
      <c r="AT280" s="902">
        <v>5170</v>
      </c>
      <c r="AU280" s="564"/>
      <c r="AV280" s="450">
        <f t="shared" si="382"/>
        <v>3748</v>
      </c>
      <c r="AW280" s="482">
        <f t="shared" si="383"/>
        <v>1.0088829071332437</v>
      </c>
    </row>
    <row r="281" spans="1:50" customFormat="1" ht="18" hidden="1" customHeight="1" x14ac:dyDescent="0.25">
      <c r="A281" s="116">
        <v>11</v>
      </c>
      <c r="B281" s="107"/>
      <c r="C281" s="91" t="s">
        <v>264</v>
      </c>
      <c r="D281" s="50">
        <f>SUM(D271:D280)</f>
        <v>72155</v>
      </c>
      <c r="E281" s="45"/>
      <c r="F281" s="197">
        <f>SUM(F271:F280)</f>
        <v>84357</v>
      </c>
      <c r="G281" s="198"/>
      <c r="H281" s="144">
        <f>SUM(H271:H280)</f>
        <v>93503</v>
      </c>
      <c r="I281" s="45"/>
      <c r="J281" s="197">
        <f>SUM(J271:J280)</f>
        <v>100655</v>
      </c>
      <c r="K281" s="198"/>
      <c r="L281" s="50">
        <f>SUM(L271:L280)</f>
        <v>112674</v>
      </c>
      <c r="M281" s="230"/>
      <c r="N281" s="550">
        <f>SUM(N271:N280)</f>
        <v>104103</v>
      </c>
      <c r="O281" s="551"/>
      <c r="P281" s="709">
        <f>SUM(P271:P280)</f>
        <v>94988</v>
      </c>
      <c r="Q281" s="398"/>
      <c r="R281" s="550">
        <f>SUM(R271:R280)</f>
        <v>135305</v>
      </c>
      <c r="S281" s="551"/>
      <c r="T281" s="397">
        <f>SUM(T271:T280)</f>
        <v>147864</v>
      </c>
      <c r="U281" s="398"/>
      <c r="V281" s="685">
        <f>SUM(V271:V280)</f>
        <v>138918</v>
      </c>
      <c r="W281" s="879"/>
      <c r="X281" s="685">
        <f>SUM(X271:X280)</f>
        <v>182543</v>
      </c>
      <c r="Y281" s="879"/>
      <c r="Z281" s="1114">
        <f>SUM(Z271:Z280)</f>
        <v>178700</v>
      </c>
      <c r="AA281" s="1115"/>
      <c r="AB281" s="1160">
        <f>SUM(AB271:AB280)</f>
        <v>0</v>
      </c>
      <c r="AC281" s="1142"/>
      <c r="AD281" s="559">
        <f>SUM(AD271:AD280)</f>
        <v>154113</v>
      </c>
      <c r="AE281" s="567"/>
      <c r="AF281" s="1187">
        <f>SUM(AF271:AF280)</f>
        <v>148321</v>
      </c>
      <c r="AG281" s="822"/>
      <c r="AH281" s="483">
        <f>SUM(AH271:AH280)</f>
        <v>5792</v>
      </c>
      <c r="AI281" s="454">
        <f>AH281/AF281</f>
        <v>3.9050437901578333E-2</v>
      </c>
      <c r="AJ281" s="1114">
        <f>SUM(AJ271:AJ280)</f>
        <v>178700</v>
      </c>
      <c r="AK281" s="1115"/>
      <c r="AL281" s="631">
        <f>SUM(AL271:AL280)</f>
        <v>173700</v>
      </c>
      <c r="AM281" s="632"/>
      <c r="AN281" s="821">
        <f>SUM(AN271:AN280)</f>
        <v>173700</v>
      </c>
      <c r="AO281" s="822"/>
      <c r="AP281" s="483">
        <f>SUM(AP271:AP280)</f>
        <v>9362.9999999999964</v>
      </c>
      <c r="AQ281" s="454">
        <f>AP281/AN281</f>
        <v>5.3903281519861811E-2</v>
      </c>
      <c r="AR281" s="740">
        <f>SUM(AR271:AR280)</f>
        <v>137268</v>
      </c>
      <c r="AS281" s="567"/>
      <c r="AT281" s="914">
        <f>SUM(AT271:AT280)</f>
        <v>158500</v>
      </c>
      <c r="AU281" s="260"/>
      <c r="AV281" s="483">
        <f>SUM(AV271:AV280)</f>
        <v>16845</v>
      </c>
      <c r="AW281" s="455">
        <f t="shared" si="383"/>
        <v>0.12271614651630387</v>
      </c>
    </row>
    <row r="282" spans="1:50" customFormat="1" ht="18" hidden="1" customHeight="1" x14ac:dyDescent="0.25">
      <c r="A282" s="104">
        <v>12</v>
      </c>
      <c r="B282" s="107"/>
      <c r="C282" s="87"/>
      <c r="D282" s="43"/>
      <c r="E282" s="42"/>
      <c r="F282" s="189"/>
      <c r="G282" s="188"/>
      <c r="H282" s="139"/>
      <c r="I282" s="42"/>
      <c r="J282" s="189"/>
      <c r="K282" s="188"/>
      <c r="L282" s="323"/>
      <c r="M282" s="226"/>
      <c r="N282" s="542"/>
      <c r="O282" s="540"/>
      <c r="P282" s="681"/>
      <c r="Q282" s="387"/>
      <c r="R282" s="542"/>
      <c r="S282" s="540"/>
      <c r="T282" s="389"/>
      <c r="U282" s="387"/>
      <c r="V282" s="686"/>
      <c r="W282" s="876"/>
      <c r="X282" s="686"/>
      <c r="Y282" s="876"/>
      <c r="Z282" s="1116"/>
      <c r="AA282" s="1117"/>
      <c r="AB282" s="1147"/>
      <c r="AC282" s="829"/>
      <c r="AD282" s="560"/>
      <c r="AE282" s="563"/>
      <c r="AF282" s="996"/>
      <c r="AG282" s="997"/>
      <c r="AH282" s="457"/>
      <c r="AI282" s="458"/>
      <c r="AJ282" s="1116"/>
      <c r="AK282" s="1117"/>
      <c r="AL282" s="765"/>
      <c r="AM282" s="764"/>
      <c r="AN282" s="996"/>
      <c r="AO282" s="997"/>
      <c r="AP282" s="457"/>
      <c r="AQ282" s="458"/>
      <c r="AR282" s="741"/>
      <c r="AS282" s="563"/>
      <c r="AT282" s="913"/>
      <c r="AU282" s="258"/>
      <c r="AV282" s="457"/>
      <c r="AW282" s="459"/>
    </row>
    <row r="283" spans="1:50" customFormat="1" ht="18" hidden="1" customHeight="1" x14ac:dyDescent="0.25">
      <c r="A283" s="116">
        <v>13</v>
      </c>
      <c r="B283" s="107"/>
      <c r="C283" s="87" t="s">
        <v>265</v>
      </c>
      <c r="D283" s="46"/>
      <c r="E283" s="42"/>
      <c r="F283" s="199"/>
      <c r="G283" s="188"/>
      <c r="H283" s="145"/>
      <c r="I283" s="42"/>
      <c r="J283" s="199"/>
      <c r="K283" s="188"/>
      <c r="L283" s="328"/>
      <c r="M283" s="226"/>
      <c r="N283" s="552"/>
      <c r="O283" s="540"/>
      <c r="P283" s="710"/>
      <c r="Q283" s="387"/>
      <c r="R283" s="552"/>
      <c r="S283" s="540"/>
      <c r="T283" s="399"/>
      <c r="U283" s="387"/>
      <c r="V283" s="686"/>
      <c r="W283" s="876"/>
      <c r="X283" s="686"/>
      <c r="Y283" s="876"/>
      <c r="Z283" s="1118"/>
      <c r="AA283" s="1107"/>
      <c r="AB283" s="1147"/>
      <c r="AC283" s="829"/>
      <c r="AD283" s="560"/>
      <c r="AE283" s="563"/>
      <c r="AF283" s="1188"/>
      <c r="AG283" s="818"/>
      <c r="AH283" s="457"/>
      <c r="AI283" s="463"/>
      <c r="AJ283" s="1118"/>
      <c r="AK283" s="1107"/>
      <c r="AL283" s="633"/>
      <c r="AM283" s="628"/>
      <c r="AN283" s="823"/>
      <c r="AO283" s="818"/>
      <c r="AP283" s="457"/>
      <c r="AQ283" s="463"/>
      <c r="AR283" s="741"/>
      <c r="AS283" s="563"/>
      <c r="AT283" s="913"/>
      <c r="AU283" s="258"/>
      <c r="AV283" s="457"/>
      <c r="AW283" s="464"/>
    </row>
    <row r="284" spans="1:50" customFormat="1" ht="18" hidden="1" customHeight="1" x14ac:dyDescent="0.25">
      <c r="A284" s="116">
        <v>14</v>
      </c>
      <c r="B284" s="107" t="s">
        <v>169</v>
      </c>
      <c r="C284" s="89" t="s">
        <v>187</v>
      </c>
      <c r="D284" s="64">
        <v>28575</v>
      </c>
      <c r="E284" s="65"/>
      <c r="F284" s="196">
        <v>29298</v>
      </c>
      <c r="G284" s="191"/>
      <c r="H284" s="143">
        <v>30894</v>
      </c>
      <c r="I284" s="65"/>
      <c r="J284" s="196">
        <v>32008</v>
      </c>
      <c r="K284" s="191"/>
      <c r="L284" s="325">
        <v>32895</v>
      </c>
      <c r="M284" s="227"/>
      <c r="N284" s="545">
        <v>33895</v>
      </c>
      <c r="O284" s="544"/>
      <c r="P284" s="706">
        <v>33780</v>
      </c>
      <c r="Q284" s="391"/>
      <c r="R284" s="545">
        <v>35125</v>
      </c>
      <c r="S284" s="544"/>
      <c r="T284" s="392">
        <v>36867</v>
      </c>
      <c r="U284" s="391"/>
      <c r="V284" s="682">
        <v>35051</v>
      </c>
      <c r="W284" s="875"/>
      <c r="X284" s="682">
        <v>35397</v>
      </c>
      <c r="Y284" s="875"/>
      <c r="Z284" s="1084">
        <v>36540</v>
      </c>
      <c r="AA284" s="1105"/>
      <c r="AB284" s="1170">
        <f t="shared" ref="AB284:AB294" si="385">Z284-AJ284</f>
        <v>0</v>
      </c>
      <c r="AC284" s="1140"/>
      <c r="AD284" s="421">
        <v>30450</v>
      </c>
      <c r="AE284" s="564"/>
      <c r="AF284" s="978">
        <f t="shared" ref="AF284:AF294" si="386">AJ284*$AX$3</f>
        <v>30328.199999999997</v>
      </c>
      <c r="AG284" s="816"/>
      <c r="AH284" s="1001">
        <f t="shared" ref="AH284:AH294" si="387">AD284-AF284</f>
        <v>121.80000000000291</v>
      </c>
      <c r="AI284" s="451">
        <f t="shared" ref="AI284:AI294" si="388">AH284/AF284</f>
        <v>4.0160642570282092E-3</v>
      </c>
      <c r="AJ284" s="1084">
        <v>36540</v>
      </c>
      <c r="AK284" s="1105"/>
      <c r="AL284" s="840">
        <v>36750</v>
      </c>
      <c r="AM284" s="626"/>
      <c r="AN284" s="978">
        <v>36750</v>
      </c>
      <c r="AO284" s="816"/>
      <c r="AP284" s="450">
        <f t="shared" ref="AP284:AP294" si="389">$AD284-(AL284/12*$AX$1)</f>
        <v>-175</v>
      </c>
      <c r="AQ284" s="451">
        <f t="shared" ref="AQ284:AQ294" si="390">AP284/AN284</f>
        <v>-4.7619047619047623E-3</v>
      </c>
      <c r="AR284" s="1025">
        <v>29900</v>
      </c>
      <c r="AS284" s="564"/>
      <c r="AT284" s="894">
        <v>35880</v>
      </c>
      <c r="AU284" s="564"/>
      <c r="AV284" s="450">
        <f t="shared" ref="AV284:AV294" si="391">AD284-AR284</f>
        <v>550</v>
      </c>
      <c r="AW284" s="452">
        <f t="shared" ref="AW284:AW295" si="392">AV284/AR284</f>
        <v>1.839464882943144E-2</v>
      </c>
    </row>
    <row r="285" spans="1:50" customFormat="1" ht="18" hidden="1" customHeight="1" x14ac:dyDescent="0.25">
      <c r="A285" s="104">
        <v>15</v>
      </c>
      <c r="B285" s="107"/>
      <c r="C285" s="89" t="s">
        <v>320</v>
      </c>
      <c r="D285" s="64"/>
      <c r="E285" s="65"/>
      <c r="F285" s="196"/>
      <c r="G285" s="191"/>
      <c r="H285" s="143"/>
      <c r="I285" s="65"/>
      <c r="J285" s="196"/>
      <c r="K285" s="191"/>
      <c r="L285" s="325"/>
      <c r="M285" s="227"/>
      <c r="N285" s="545">
        <v>0</v>
      </c>
      <c r="O285" s="544"/>
      <c r="P285" s="706">
        <v>4548</v>
      </c>
      <c r="Q285" s="391"/>
      <c r="R285" s="545">
        <v>5523</v>
      </c>
      <c r="S285" s="544"/>
      <c r="T285" s="392">
        <v>6252</v>
      </c>
      <c r="U285" s="391"/>
      <c r="V285" s="682">
        <v>2725</v>
      </c>
      <c r="W285" s="875"/>
      <c r="X285" s="682">
        <v>1219</v>
      </c>
      <c r="Y285" s="875"/>
      <c r="Z285" s="1108">
        <v>2000</v>
      </c>
      <c r="AA285" s="1105"/>
      <c r="AB285" s="1144">
        <f t="shared" si="385"/>
        <v>0</v>
      </c>
      <c r="AC285" s="1141"/>
      <c r="AD285" s="557">
        <v>1095</v>
      </c>
      <c r="AE285" s="564"/>
      <c r="AF285" s="978">
        <f t="shared" si="386"/>
        <v>1660</v>
      </c>
      <c r="AG285" s="816"/>
      <c r="AH285" s="1001">
        <f t="shared" si="387"/>
        <v>-565</v>
      </c>
      <c r="AI285" s="451">
        <f t="shared" si="388"/>
        <v>-0.34036144578313254</v>
      </c>
      <c r="AJ285" s="1108">
        <v>2000</v>
      </c>
      <c r="AK285" s="1105"/>
      <c r="AL285" s="846">
        <v>2000</v>
      </c>
      <c r="AM285" s="626"/>
      <c r="AN285" s="992">
        <v>2000</v>
      </c>
      <c r="AO285" s="816"/>
      <c r="AP285" s="450">
        <f t="shared" si="389"/>
        <v>-571.66666666666652</v>
      </c>
      <c r="AQ285" s="451">
        <f t="shared" si="390"/>
        <v>-0.28583333333333327</v>
      </c>
      <c r="AR285" s="1026">
        <v>1738</v>
      </c>
      <c r="AS285" s="564"/>
      <c r="AT285" s="902">
        <v>2069</v>
      </c>
      <c r="AU285" s="564"/>
      <c r="AV285" s="450">
        <f t="shared" si="391"/>
        <v>-643</v>
      </c>
      <c r="AW285" s="452">
        <f t="shared" si="392"/>
        <v>-0.36996547756041426</v>
      </c>
    </row>
    <row r="286" spans="1:50" customFormat="1" ht="18" hidden="1" customHeight="1" x14ac:dyDescent="0.25">
      <c r="A286" s="116">
        <v>16</v>
      </c>
      <c r="B286" s="107" t="s">
        <v>1</v>
      </c>
      <c r="C286" s="89" t="s">
        <v>289</v>
      </c>
      <c r="D286" s="64">
        <v>1755</v>
      </c>
      <c r="E286" s="65"/>
      <c r="F286" s="196">
        <v>2625</v>
      </c>
      <c r="G286" s="191"/>
      <c r="H286" s="143">
        <v>3420</v>
      </c>
      <c r="I286" s="65"/>
      <c r="J286" s="196">
        <v>5273</v>
      </c>
      <c r="K286" s="191"/>
      <c r="L286" s="325">
        <v>2535</v>
      </c>
      <c r="M286" s="227"/>
      <c r="N286" s="545">
        <v>3135</v>
      </c>
      <c r="O286" s="544"/>
      <c r="P286" s="706">
        <v>5010</v>
      </c>
      <c r="Q286" s="391"/>
      <c r="R286" s="545">
        <v>1936</v>
      </c>
      <c r="S286" s="544"/>
      <c r="T286" s="392">
        <v>3495</v>
      </c>
      <c r="U286" s="391"/>
      <c r="V286" s="682">
        <v>2948</v>
      </c>
      <c r="W286" s="875"/>
      <c r="X286" s="682">
        <v>3270</v>
      </c>
      <c r="Y286" s="875"/>
      <c r="Z286" s="1108">
        <v>3000</v>
      </c>
      <c r="AA286" s="1105"/>
      <c r="AB286" s="1144">
        <f t="shared" si="385"/>
        <v>0</v>
      </c>
      <c r="AC286" s="1141"/>
      <c r="AD286" s="557">
        <v>2400</v>
      </c>
      <c r="AE286" s="564"/>
      <c r="AF286" s="978">
        <f t="shared" si="386"/>
        <v>2490</v>
      </c>
      <c r="AG286" s="816"/>
      <c r="AH286" s="1001">
        <f t="shared" si="387"/>
        <v>-90</v>
      </c>
      <c r="AI286" s="451">
        <f t="shared" si="388"/>
        <v>-3.614457831325301E-2</v>
      </c>
      <c r="AJ286" s="1108">
        <v>3000</v>
      </c>
      <c r="AK286" s="1105"/>
      <c r="AL286" s="846">
        <v>3400</v>
      </c>
      <c r="AM286" s="626"/>
      <c r="AN286" s="992">
        <v>3400</v>
      </c>
      <c r="AO286" s="816"/>
      <c r="AP286" s="450">
        <f t="shared" si="389"/>
        <v>-433.33333333333303</v>
      </c>
      <c r="AQ286" s="451">
        <f t="shared" si="390"/>
        <v>-0.12745098039215677</v>
      </c>
      <c r="AR286" s="1026">
        <v>1956</v>
      </c>
      <c r="AS286" s="564"/>
      <c r="AT286" s="902">
        <v>2841</v>
      </c>
      <c r="AU286" s="564"/>
      <c r="AV286" s="450">
        <f t="shared" si="391"/>
        <v>444</v>
      </c>
      <c r="AW286" s="452">
        <f t="shared" si="392"/>
        <v>0.22699386503067484</v>
      </c>
    </row>
    <row r="287" spans="1:50" customFormat="1" ht="18" hidden="1" customHeight="1" x14ac:dyDescent="0.25">
      <c r="A287" s="116">
        <v>17</v>
      </c>
      <c r="B287" s="107" t="s">
        <v>170</v>
      </c>
      <c r="C287" s="89" t="s">
        <v>188</v>
      </c>
      <c r="D287" s="64">
        <v>224</v>
      </c>
      <c r="E287" s="65"/>
      <c r="F287" s="196">
        <v>481</v>
      </c>
      <c r="G287" s="191"/>
      <c r="H287" s="143">
        <v>527</v>
      </c>
      <c r="I287" s="65"/>
      <c r="J287" s="196">
        <v>633</v>
      </c>
      <c r="K287" s="191"/>
      <c r="L287" s="325">
        <v>213</v>
      </c>
      <c r="M287" s="227"/>
      <c r="N287" s="545">
        <v>313</v>
      </c>
      <c r="O287" s="544"/>
      <c r="P287" s="706">
        <v>1059</v>
      </c>
      <c r="Q287" s="391"/>
      <c r="R287" s="545">
        <v>0</v>
      </c>
      <c r="S287" s="544"/>
      <c r="T287" s="392">
        <v>395</v>
      </c>
      <c r="U287" s="391"/>
      <c r="V287" s="682">
        <f>181+239</f>
        <v>420</v>
      </c>
      <c r="W287" s="875"/>
      <c r="X287" s="682">
        <v>400</v>
      </c>
      <c r="Y287" s="875"/>
      <c r="Z287" s="1084">
        <v>750</v>
      </c>
      <c r="AA287" s="1105"/>
      <c r="AB287" s="1144">
        <f t="shared" si="385"/>
        <v>-400</v>
      </c>
      <c r="AC287" s="1141"/>
      <c r="AD287" s="557">
        <f>150+1000</f>
        <v>1150</v>
      </c>
      <c r="AE287" s="564"/>
      <c r="AF287" s="978">
        <f t="shared" si="386"/>
        <v>954.5</v>
      </c>
      <c r="AG287" s="816"/>
      <c r="AH287" s="1001">
        <f t="shared" si="387"/>
        <v>195.5</v>
      </c>
      <c r="AI287" s="451">
        <f t="shared" si="388"/>
        <v>0.20481927710843373</v>
      </c>
      <c r="AJ287" s="1084">
        <v>1150</v>
      </c>
      <c r="AK287" s="1105"/>
      <c r="AL287" s="840">
        <v>500</v>
      </c>
      <c r="AM287" s="626"/>
      <c r="AN287" s="978">
        <v>500</v>
      </c>
      <c r="AO287" s="816"/>
      <c r="AP287" s="1001">
        <f>$AD287-(AL287*$AX$4)</f>
        <v>650</v>
      </c>
      <c r="AQ287" s="451">
        <f t="shared" si="390"/>
        <v>1.3</v>
      </c>
      <c r="AR287" s="1026">
        <v>0</v>
      </c>
      <c r="AS287" s="564"/>
      <c r="AT287" s="902">
        <v>0</v>
      </c>
      <c r="AU287" s="564"/>
      <c r="AV287" s="450">
        <f t="shared" si="391"/>
        <v>1150</v>
      </c>
      <c r="AW287" s="452" t="e">
        <f t="shared" si="392"/>
        <v>#DIV/0!</v>
      </c>
      <c r="AX287" s="266" t="s">
        <v>330</v>
      </c>
    </row>
    <row r="288" spans="1:50" customFormat="1" ht="18" hidden="1" customHeight="1" x14ac:dyDescent="0.25">
      <c r="A288" s="956">
        <v>18</v>
      </c>
      <c r="B288" s="107" t="s">
        <v>171</v>
      </c>
      <c r="C288" s="89" t="s">
        <v>193</v>
      </c>
      <c r="D288" s="64">
        <v>707</v>
      </c>
      <c r="E288" s="65"/>
      <c r="F288" s="196">
        <v>784</v>
      </c>
      <c r="G288" s="191"/>
      <c r="H288" s="143">
        <v>552</v>
      </c>
      <c r="I288" s="65"/>
      <c r="J288" s="196">
        <v>575</v>
      </c>
      <c r="K288" s="191"/>
      <c r="L288" s="325">
        <v>726</v>
      </c>
      <c r="M288" s="227"/>
      <c r="N288" s="545">
        <v>818</v>
      </c>
      <c r="O288" s="544"/>
      <c r="P288" s="706">
        <v>679</v>
      </c>
      <c r="Q288" s="391"/>
      <c r="R288" s="545">
        <v>660</v>
      </c>
      <c r="S288" s="544"/>
      <c r="T288" s="392">
        <v>625</v>
      </c>
      <c r="U288" s="391"/>
      <c r="V288" s="682">
        <v>588</v>
      </c>
      <c r="W288" s="875"/>
      <c r="X288" s="682">
        <v>516</v>
      </c>
      <c r="Y288" s="875"/>
      <c r="Z288" s="1084">
        <v>500</v>
      </c>
      <c r="AA288" s="1105"/>
      <c r="AB288" s="1144">
        <f t="shared" si="385"/>
        <v>0</v>
      </c>
      <c r="AC288" s="1141"/>
      <c r="AD288" s="557">
        <v>334</v>
      </c>
      <c r="AE288" s="564"/>
      <c r="AF288" s="978">
        <f t="shared" si="386"/>
        <v>415</v>
      </c>
      <c r="AG288" s="816"/>
      <c r="AH288" s="1001">
        <f t="shared" si="387"/>
        <v>-81</v>
      </c>
      <c r="AI288" s="451">
        <f t="shared" si="388"/>
        <v>-0.19518072289156627</v>
      </c>
      <c r="AJ288" s="1084">
        <v>500</v>
      </c>
      <c r="AK288" s="1105"/>
      <c r="AL288" s="840">
        <v>500</v>
      </c>
      <c r="AM288" s="626"/>
      <c r="AN288" s="978">
        <v>500</v>
      </c>
      <c r="AO288" s="816"/>
      <c r="AP288" s="450">
        <f t="shared" si="389"/>
        <v>-82.666666666666629</v>
      </c>
      <c r="AQ288" s="451">
        <f t="shared" si="390"/>
        <v>-0.16533333333333325</v>
      </c>
      <c r="AR288" s="1027">
        <v>308</v>
      </c>
      <c r="AS288" s="564"/>
      <c r="AT288" s="902">
        <v>381</v>
      </c>
      <c r="AU288" s="564"/>
      <c r="AV288" s="450">
        <f t="shared" si="391"/>
        <v>26</v>
      </c>
      <c r="AW288" s="452">
        <f t="shared" si="392"/>
        <v>8.4415584415584416E-2</v>
      </c>
    </row>
    <row r="289" spans="1:50" customFormat="1" ht="18" hidden="1" customHeight="1" x14ac:dyDescent="0.25">
      <c r="A289" s="958">
        <v>19</v>
      </c>
      <c r="B289" s="107" t="s">
        <v>0</v>
      </c>
      <c r="C289" s="89" t="s">
        <v>194</v>
      </c>
      <c r="D289" s="64">
        <v>184</v>
      </c>
      <c r="E289" s="65"/>
      <c r="F289" s="196">
        <v>356</v>
      </c>
      <c r="G289" s="191"/>
      <c r="H289" s="143">
        <v>219</v>
      </c>
      <c r="I289" s="65"/>
      <c r="J289" s="196">
        <v>182</v>
      </c>
      <c r="K289" s="191"/>
      <c r="L289" s="325">
        <v>211</v>
      </c>
      <c r="M289" s="227"/>
      <c r="N289" s="545">
        <v>232</v>
      </c>
      <c r="O289" s="544"/>
      <c r="P289" s="706">
        <v>248</v>
      </c>
      <c r="Q289" s="391"/>
      <c r="R289" s="545">
        <v>184</v>
      </c>
      <c r="S289" s="544"/>
      <c r="T289" s="392">
        <v>59</v>
      </c>
      <c r="U289" s="391"/>
      <c r="V289" s="682">
        <v>45</v>
      </c>
      <c r="W289" s="875"/>
      <c r="X289" s="682">
        <v>65</v>
      </c>
      <c r="Y289" s="875"/>
      <c r="Z289" s="1084">
        <v>75</v>
      </c>
      <c r="AA289" s="1105"/>
      <c r="AB289" s="1144">
        <f t="shared" si="385"/>
        <v>-25</v>
      </c>
      <c r="AC289" s="1141"/>
      <c r="AD289" s="557">
        <v>50</v>
      </c>
      <c r="AE289" s="564"/>
      <c r="AF289" s="978">
        <f t="shared" si="386"/>
        <v>83</v>
      </c>
      <c r="AG289" s="816"/>
      <c r="AH289" s="1001">
        <f t="shared" si="387"/>
        <v>-33</v>
      </c>
      <c r="AI289" s="451">
        <f t="shared" si="388"/>
        <v>-0.39759036144578314</v>
      </c>
      <c r="AJ289" s="1084">
        <v>100</v>
      </c>
      <c r="AK289" s="1105"/>
      <c r="AL289" s="840">
        <v>100</v>
      </c>
      <c r="AM289" s="626"/>
      <c r="AN289" s="978">
        <v>100</v>
      </c>
      <c r="AO289" s="816"/>
      <c r="AP289" s="450">
        <f t="shared" si="389"/>
        <v>-33.333333333333343</v>
      </c>
      <c r="AQ289" s="451">
        <f t="shared" si="390"/>
        <v>-0.33333333333333343</v>
      </c>
      <c r="AR289" s="1027">
        <v>78</v>
      </c>
      <c r="AS289" s="564"/>
      <c r="AT289" s="902">
        <v>78</v>
      </c>
      <c r="AU289" s="564"/>
      <c r="AV289" s="450">
        <f t="shared" si="391"/>
        <v>-28</v>
      </c>
      <c r="AW289" s="452">
        <f t="shared" si="392"/>
        <v>-0.35897435897435898</v>
      </c>
    </row>
    <row r="290" spans="1:50" customFormat="1" ht="18" hidden="1" customHeight="1" x14ac:dyDescent="0.25">
      <c r="A290" s="958">
        <v>20</v>
      </c>
      <c r="B290" s="107" t="s">
        <v>266</v>
      </c>
      <c r="C290" s="89" t="s">
        <v>192</v>
      </c>
      <c r="D290" s="64">
        <v>0</v>
      </c>
      <c r="E290" s="65"/>
      <c r="F290" s="196">
        <v>0</v>
      </c>
      <c r="G290" s="191"/>
      <c r="H290" s="143">
        <v>297</v>
      </c>
      <c r="I290" s="65"/>
      <c r="J290" s="196">
        <v>164</v>
      </c>
      <c r="K290" s="191"/>
      <c r="L290" s="325">
        <v>229</v>
      </c>
      <c r="M290" s="227"/>
      <c r="N290" s="545">
        <v>314</v>
      </c>
      <c r="O290" s="544"/>
      <c r="P290" s="706">
        <v>189</v>
      </c>
      <c r="Q290" s="391"/>
      <c r="R290" s="545">
        <v>319</v>
      </c>
      <c r="S290" s="544"/>
      <c r="T290" s="392">
        <f>139+17</f>
        <v>156</v>
      </c>
      <c r="U290" s="391"/>
      <c r="V290" s="682">
        <v>76</v>
      </c>
      <c r="W290" s="875"/>
      <c r="X290" s="682">
        <v>0</v>
      </c>
      <c r="Y290" s="875"/>
      <c r="Z290" s="1108">
        <v>500</v>
      </c>
      <c r="AA290" s="1105"/>
      <c r="AB290" s="1144">
        <f t="shared" si="385"/>
        <v>0</v>
      </c>
      <c r="AC290" s="1141"/>
      <c r="AD290" s="557">
        <v>463</v>
      </c>
      <c r="AE290" s="564"/>
      <c r="AF290" s="978">
        <f t="shared" si="386"/>
        <v>415</v>
      </c>
      <c r="AG290" s="816"/>
      <c r="AH290" s="1001">
        <f t="shared" si="387"/>
        <v>48</v>
      </c>
      <c r="AI290" s="451">
        <f t="shared" si="388"/>
        <v>0.11566265060240964</v>
      </c>
      <c r="AJ290" s="1108">
        <v>500</v>
      </c>
      <c r="AK290" s="1105"/>
      <c r="AL290" s="846">
        <v>500</v>
      </c>
      <c r="AM290" s="626"/>
      <c r="AN290" s="992">
        <v>500</v>
      </c>
      <c r="AO290" s="816"/>
      <c r="AP290" s="1001">
        <f>$AD290-(AL290*$AX$6)</f>
        <v>463</v>
      </c>
      <c r="AQ290" s="451">
        <f t="shared" si="390"/>
        <v>0.92600000000000005</v>
      </c>
      <c r="AR290" s="1027">
        <v>406</v>
      </c>
      <c r="AS290" s="564"/>
      <c r="AT290" s="902">
        <v>406</v>
      </c>
      <c r="AU290" s="564"/>
      <c r="AV290" s="450">
        <f t="shared" si="391"/>
        <v>57</v>
      </c>
      <c r="AW290" s="452">
        <f t="shared" si="392"/>
        <v>0.14039408866995073</v>
      </c>
      <c r="AX290" s="266" t="s">
        <v>330</v>
      </c>
    </row>
    <row r="291" spans="1:50" customFormat="1" ht="18" hidden="1" customHeight="1" x14ac:dyDescent="0.25">
      <c r="A291" s="956">
        <v>21</v>
      </c>
      <c r="B291" s="107" t="s">
        <v>267</v>
      </c>
      <c r="C291" s="89" t="s">
        <v>182</v>
      </c>
      <c r="D291" s="64">
        <v>0</v>
      </c>
      <c r="E291" s="65"/>
      <c r="F291" s="196">
        <v>0</v>
      </c>
      <c r="G291" s="191"/>
      <c r="H291" s="143">
        <v>0</v>
      </c>
      <c r="I291" s="65"/>
      <c r="J291" s="196">
        <v>0</v>
      </c>
      <c r="K291" s="191"/>
      <c r="L291" s="325">
        <v>973</v>
      </c>
      <c r="M291" s="227"/>
      <c r="N291" s="545">
        <v>0</v>
      </c>
      <c r="O291" s="544"/>
      <c r="P291" s="706">
        <v>0</v>
      </c>
      <c r="Q291" s="391"/>
      <c r="R291" s="545">
        <v>0</v>
      </c>
      <c r="S291" s="544"/>
      <c r="T291" s="392">
        <v>0</v>
      </c>
      <c r="U291" s="391"/>
      <c r="V291" s="682">
        <v>0</v>
      </c>
      <c r="W291" s="875"/>
      <c r="X291" s="682">
        <v>0</v>
      </c>
      <c r="Y291" s="875"/>
      <c r="Z291" s="1108"/>
      <c r="AA291" s="1105"/>
      <c r="AB291" s="1144">
        <f t="shared" si="385"/>
        <v>0</v>
      </c>
      <c r="AC291" s="1141"/>
      <c r="AD291" s="557">
        <v>0</v>
      </c>
      <c r="AE291" s="564"/>
      <c r="AF291" s="978">
        <f t="shared" si="386"/>
        <v>0</v>
      </c>
      <c r="AG291" s="816"/>
      <c r="AH291" s="1001">
        <f t="shared" si="387"/>
        <v>0</v>
      </c>
      <c r="AI291" s="451" t="e">
        <f t="shared" si="388"/>
        <v>#DIV/0!</v>
      </c>
      <c r="AJ291" s="1108"/>
      <c r="AK291" s="1105"/>
      <c r="AL291" s="846"/>
      <c r="AM291" s="626"/>
      <c r="AN291" s="992"/>
      <c r="AO291" s="816"/>
      <c r="AP291" s="450">
        <f t="shared" si="389"/>
        <v>0</v>
      </c>
      <c r="AQ291" s="451" t="e">
        <f t="shared" si="390"/>
        <v>#DIV/0!</v>
      </c>
      <c r="AR291" s="1027">
        <v>0</v>
      </c>
      <c r="AS291" s="564"/>
      <c r="AT291" s="902">
        <v>0</v>
      </c>
      <c r="AU291" s="564"/>
      <c r="AV291" s="450">
        <f t="shared" si="391"/>
        <v>0</v>
      </c>
      <c r="AW291" s="452" t="e">
        <f t="shared" si="392"/>
        <v>#DIV/0!</v>
      </c>
    </row>
    <row r="292" spans="1:50" customFormat="1" ht="18" hidden="1" customHeight="1" x14ac:dyDescent="0.25">
      <c r="A292" s="958">
        <v>22</v>
      </c>
      <c r="B292" s="107" t="s">
        <v>2</v>
      </c>
      <c r="C292" s="89" t="s">
        <v>195</v>
      </c>
      <c r="D292" s="68">
        <v>2037</v>
      </c>
      <c r="E292" s="65"/>
      <c r="F292" s="200">
        <v>1465</v>
      </c>
      <c r="G292" s="191"/>
      <c r="H292" s="146">
        <v>936</v>
      </c>
      <c r="I292" s="65"/>
      <c r="J292" s="200">
        <v>1095</v>
      </c>
      <c r="K292" s="191"/>
      <c r="L292" s="329">
        <v>1913</v>
      </c>
      <c r="M292" s="227"/>
      <c r="N292" s="553">
        <v>2312</v>
      </c>
      <c r="O292" s="544"/>
      <c r="P292" s="711">
        <v>2412</v>
      </c>
      <c r="Q292" s="391"/>
      <c r="R292" s="553">
        <v>2750</v>
      </c>
      <c r="S292" s="544"/>
      <c r="T292" s="400">
        <v>3016</v>
      </c>
      <c r="U292" s="391"/>
      <c r="V292" s="687">
        <v>3140</v>
      </c>
      <c r="W292" s="875"/>
      <c r="X292" s="687">
        <v>3771</v>
      </c>
      <c r="Y292" s="875"/>
      <c r="Z292" s="1084">
        <v>5330</v>
      </c>
      <c r="AA292" s="1105"/>
      <c r="AB292" s="1144">
        <f t="shared" si="385"/>
        <v>130</v>
      </c>
      <c r="AC292" s="1141"/>
      <c r="AD292" s="557">
        <v>4333</v>
      </c>
      <c r="AE292" s="564"/>
      <c r="AF292" s="978">
        <f t="shared" si="386"/>
        <v>4316</v>
      </c>
      <c r="AG292" s="816"/>
      <c r="AH292" s="1001">
        <f t="shared" si="387"/>
        <v>17</v>
      </c>
      <c r="AI292" s="451">
        <f t="shared" si="388"/>
        <v>3.9388322520852639E-3</v>
      </c>
      <c r="AJ292" s="1084">
        <v>5200</v>
      </c>
      <c r="AK292" s="1105"/>
      <c r="AL292" s="840">
        <v>5260</v>
      </c>
      <c r="AM292" s="626"/>
      <c r="AN292" s="978">
        <v>5260</v>
      </c>
      <c r="AO292" s="816"/>
      <c r="AP292" s="450">
        <f t="shared" si="389"/>
        <v>-50.33333333333303</v>
      </c>
      <c r="AQ292" s="451">
        <f t="shared" si="390"/>
        <v>-9.5690747782001956E-3</v>
      </c>
      <c r="AR292" s="1027">
        <v>3923</v>
      </c>
      <c r="AS292" s="564"/>
      <c r="AT292" s="902">
        <v>4708</v>
      </c>
      <c r="AU292" s="564"/>
      <c r="AV292" s="450">
        <f t="shared" si="391"/>
        <v>410</v>
      </c>
      <c r="AW292" s="452">
        <f t="shared" si="392"/>
        <v>0.10451185317359164</v>
      </c>
    </row>
    <row r="293" spans="1:50" customFormat="1" ht="18" hidden="1" customHeight="1" x14ac:dyDescent="0.25">
      <c r="A293" s="958">
        <v>23</v>
      </c>
      <c r="B293" s="107" t="s">
        <v>3</v>
      </c>
      <c r="C293" s="89" t="s">
        <v>273</v>
      </c>
      <c r="D293" s="64">
        <v>2057</v>
      </c>
      <c r="E293" s="65"/>
      <c r="F293" s="196">
        <v>1998</v>
      </c>
      <c r="G293" s="191"/>
      <c r="H293" s="143">
        <v>2125</v>
      </c>
      <c r="I293" s="65"/>
      <c r="J293" s="196">
        <v>2223</v>
      </c>
      <c r="K293" s="191"/>
      <c r="L293" s="325">
        <v>2268</v>
      </c>
      <c r="M293" s="227"/>
      <c r="N293" s="545">
        <v>2307</v>
      </c>
      <c r="O293" s="544"/>
      <c r="P293" s="706">
        <v>2297</v>
      </c>
      <c r="Q293" s="391"/>
      <c r="R293" s="545">
        <v>2460</v>
      </c>
      <c r="S293" s="544"/>
      <c r="T293" s="392">
        <v>2615</v>
      </c>
      <c r="U293" s="391"/>
      <c r="V293" s="682">
        <v>2505</v>
      </c>
      <c r="W293" s="875"/>
      <c r="X293" s="682">
        <v>2596</v>
      </c>
      <c r="Y293" s="875"/>
      <c r="Z293" s="1084">
        <v>2795</v>
      </c>
      <c r="AA293" s="1105"/>
      <c r="AB293" s="1144">
        <f t="shared" si="385"/>
        <v>0</v>
      </c>
      <c r="AC293" s="1141"/>
      <c r="AD293" s="557">
        <v>2253</v>
      </c>
      <c r="AE293" s="564"/>
      <c r="AF293" s="978">
        <f t="shared" si="386"/>
        <v>2319.85</v>
      </c>
      <c r="AG293" s="816"/>
      <c r="AH293" s="1001">
        <f t="shared" si="387"/>
        <v>-66.849999999999909</v>
      </c>
      <c r="AI293" s="451">
        <f t="shared" si="388"/>
        <v>-2.8816518309373412E-2</v>
      </c>
      <c r="AJ293" s="1084">
        <v>2795</v>
      </c>
      <c r="AK293" s="1105"/>
      <c r="AL293" s="840">
        <v>2810</v>
      </c>
      <c r="AM293" s="626"/>
      <c r="AN293" s="978">
        <v>2810</v>
      </c>
      <c r="AO293" s="816"/>
      <c r="AP293" s="450">
        <f t="shared" si="389"/>
        <v>-88.666666666666515</v>
      </c>
      <c r="AQ293" s="451">
        <f t="shared" si="390"/>
        <v>-3.1553973902728294E-2</v>
      </c>
      <c r="AR293" s="1027">
        <v>2208</v>
      </c>
      <c r="AS293" s="564"/>
      <c r="AT293" s="902">
        <v>2650</v>
      </c>
      <c r="AU293" s="564"/>
      <c r="AV293" s="450">
        <f t="shared" si="391"/>
        <v>45</v>
      </c>
      <c r="AW293" s="452">
        <f t="shared" si="392"/>
        <v>2.0380434782608696E-2</v>
      </c>
    </row>
    <row r="294" spans="1:50" customFormat="1" ht="18" hidden="1" customHeight="1" x14ac:dyDescent="0.25">
      <c r="A294" s="956">
        <v>24</v>
      </c>
      <c r="B294" s="107" t="s">
        <v>4</v>
      </c>
      <c r="C294" s="90" t="s">
        <v>196</v>
      </c>
      <c r="D294" s="69">
        <v>2256</v>
      </c>
      <c r="E294" s="67"/>
      <c r="F294" s="201">
        <v>2820</v>
      </c>
      <c r="G294" s="193"/>
      <c r="H294" s="147">
        <v>2933</v>
      </c>
      <c r="I294" s="67"/>
      <c r="J294" s="201">
        <v>3348</v>
      </c>
      <c r="K294" s="193"/>
      <c r="L294" s="330">
        <v>3431</v>
      </c>
      <c r="M294" s="228"/>
      <c r="N294" s="554">
        <v>3783</v>
      </c>
      <c r="O294" s="549"/>
      <c r="P294" s="712">
        <v>3758</v>
      </c>
      <c r="Q294" s="396"/>
      <c r="R294" s="554">
        <v>4087</v>
      </c>
      <c r="S294" s="549"/>
      <c r="T294" s="401">
        <v>4187</v>
      </c>
      <c r="U294" s="396"/>
      <c r="V294" s="688">
        <v>4560</v>
      </c>
      <c r="W294" s="878"/>
      <c r="X294" s="688">
        <v>4930</v>
      </c>
      <c r="Y294" s="878"/>
      <c r="Z294" s="1119">
        <v>5315</v>
      </c>
      <c r="AA294" s="1112"/>
      <c r="AB294" s="1144">
        <f t="shared" si="385"/>
        <v>120</v>
      </c>
      <c r="AC294" s="829"/>
      <c r="AD294" s="557">
        <v>4327</v>
      </c>
      <c r="AE294" s="566"/>
      <c r="AF294" s="978">
        <f t="shared" si="386"/>
        <v>4311.8499999999995</v>
      </c>
      <c r="AG294" s="820"/>
      <c r="AH294" s="1001">
        <f t="shared" si="387"/>
        <v>15.150000000000546</v>
      </c>
      <c r="AI294" s="451">
        <f t="shared" si="388"/>
        <v>3.5135730602874745E-3</v>
      </c>
      <c r="AJ294" s="1119">
        <v>5195</v>
      </c>
      <c r="AK294" s="1112"/>
      <c r="AL294" s="850">
        <v>5195</v>
      </c>
      <c r="AM294" s="630"/>
      <c r="AN294" s="998">
        <v>5195</v>
      </c>
      <c r="AO294" s="820"/>
      <c r="AP294" s="450">
        <f t="shared" si="389"/>
        <v>-2.1666666666669698</v>
      </c>
      <c r="AQ294" s="451">
        <f t="shared" si="390"/>
        <v>-4.1706769329489314E-4</v>
      </c>
      <c r="AR294" s="1027">
        <v>4109</v>
      </c>
      <c r="AS294" s="566"/>
      <c r="AT294" s="902">
        <v>4953</v>
      </c>
      <c r="AU294" s="566"/>
      <c r="AV294" s="450">
        <f t="shared" si="391"/>
        <v>218</v>
      </c>
      <c r="AW294" s="482">
        <f t="shared" si="392"/>
        <v>5.3054271112192748E-2</v>
      </c>
    </row>
    <row r="295" spans="1:50" customFormat="1" ht="18" hidden="1" customHeight="1" x14ac:dyDescent="0.25">
      <c r="A295" s="958">
        <v>25</v>
      </c>
      <c r="B295" s="107"/>
      <c r="C295" s="91" t="s">
        <v>197</v>
      </c>
      <c r="D295" s="44">
        <f>SUM(D284:D294)</f>
        <v>37795</v>
      </c>
      <c r="E295" s="45"/>
      <c r="F295" s="197">
        <f>SUM(F284:F294)</f>
        <v>39827</v>
      </c>
      <c r="G295" s="198"/>
      <c r="H295" s="144">
        <f>SUM(H284:H294)</f>
        <v>41903</v>
      </c>
      <c r="I295" s="45"/>
      <c r="J295" s="197">
        <f>SUM(J284:J294)</f>
        <v>45501</v>
      </c>
      <c r="K295" s="198"/>
      <c r="L295" s="50">
        <f>SUM(L284:L294)</f>
        <v>45394</v>
      </c>
      <c r="M295" s="230"/>
      <c r="N295" s="550">
        <f>SUM(N284:N294)</f>
        <v>47109</v>
      </c>
      <c r="O295" s="551"/>
      <c r="P295" s="709">
        <f>SUM(P284:P294)</f>
        <v>53980</v>
      </c>
      <c r="Q295" s="398"/>
      <c r="R295" s="550">
        <f>SUM(R284:R294)</f>
        <v>53044</v>
      </c>
      <c r="S295" s="551"/>
      <c r="T295" s="397">
        <f>SUM(T284:T294)</f>
        <v>57667</v>
      </c>
      <c r="U295" s="398"/>
      <c r="V295" s="685">
        <f>SUM(V284:V294)</f>
        <v>52058</v>
      </c>
      <c r="W295" s="879"/>
      <c r="X295" s="685">
        <f>SUM(X284:X294)</f>
        <v>52164</v>
      </c>
      <c r="Y295" s="879"/>
      <c r="Z295" s="1114">
        <f>SUM(Z284:Z294)</f>
        <v>56805</v>
      </c>
      <c r="AA295" s="1115"/>
      <c r="AB295" s="1160">
        <f>SUM(AB284:AB294)</f>
        <v>-175</v>
      </c>
      <c r="AC295" s="1142"/>
      <c r="AD295" s="559">
        <f>SUM(AD284:AD294)</f>
        <v>46855</v>
      </c>
      <c r="AE295" s="567"/>
      <c r="AF295" s="1187">
        <f>SUM(AF284:AF294)</f>
        <v>47293.399999999994</v>
      </c>
      <c r="AG295" s="822"/>
      <c r="AH295" s="483">
        <f>SUM(AH284:AH294)</f>
        <v>-438.39999999999645</v>
      </c>
      <c r="AI295" s="454">
        <f>AH295/AF295</f>
        <v>-9.2697924023224486E-3</v>
      </c>
      <c r="AJ295" s="1114">
        <f>SUM(AJ284:AJ294)</f>
        <v>56980</v>
      </c>
      <c r="AK295" s="1115"/>
      <c r="AL295" s="631">
        <f>SUM(AL284:AL294)</f>
        <v>57015</v>
      </c>
      <c r="AM295" s="632"/>
      <c r="AN295" s="821">
        <f>SUM(AN284:AN294)</f>
        <v>57015</v>
      </c>
      <c r="AO295" s="822"/>
      <c r="AP295" s="483">
        <f>SUM(AP284:AP294)</f>
        <v>-324.16666666666606</v>
      </c>
      <c r="AQ295" s="454">
        <f>AP295/AN295</f>
        <v>-5.6856382823233546E-3</v>
      </c>
      <c r="AR295" s="740">
        <f>SUM(AR284:AR294)</f>
        <v>44626</v>
      </c>
      <c r="AS295" s="567"/>
      <c r="AT295" s="914">
        <f>SUM(AT284:AT294)</f>
        <v>53966</v>
      </c>
      <c r="AU295" s="260"/>
      <c r="AV295" s="483">
        <f>SUM(AV284:AV294)</f>
        <v>2229</v>
      </c>
      <c r="AW295" s="455">
        <f t="shared" si="392"/>
        <v>4.9948460538699412E-2</v>
      </c>
    </row>
    <row r="296" spans="1:50" customFormat="1" ht="18" hidden="1" customHeight="1" x14ac:dyDescent="0.25">
      <c r="A296" s="958">
        <v>26</v>
      </c>
      <c r="B296" s="107"/>
      <c r="C296" s="87"/>
      <c r="D296" s="47"/>
      <c r="E296" s="42"/>
      <c r="F296" s="206"/>
      <c r="G296" s="188"/>
      <c r="H296" s="139"/>
      <c r="I296" s="42"/>
      <c r="J296" s="189"/>
      <c r="K296" s="188"/>
      <c r="L296" s="323"/>
      <c r="M296" s="226"/>
      <c r="N296" s="542"/>
      <c r="O296" s="540"/>
      <c r="P296" s="681"/>
      <c r="Q296" s="387"/>
      <c r="R296" s="542"/>
      <c r="S296" s="540"/>
      <c r="T296" s="389"/>
      <c r="U296" s="387"/>
      <c r="V296" s="686"/>
      <c r="W296" s="876"/>
      <c r="X296" s="686"/>
      <c r="Y296" s="876"/>
      <c r="Z296" s="1118"/>
      <c r="AA296" s="1107"/>
      <c r="AB296" s="1147"/>
      <c r="AC296" s="829"/>
      <c r="AD296" s="560"/>
      <c r="AE296" s="563"/>
      <c r="AF296" s="1188"/>
      <c r="AG296" s="818"/>
      <c r="AH296" s="484"/>
      <c r="AI296" s="458"/>
      <c r="AJ296" s="1118"/>
      <c r="AK296" s="1107"/>
      <c r="AL296" s="633"/>
      <c r="AM296" s="628"/>
      <c r="AN296" s="823"/>
      <c r="AO296" s="818"/>
      <c r="AP296" s="484"/>
      <c r="AQ296" s="458"/>
      <c r="AR296" s="741"/>
      <c r="AS296" s="563"/>
      <c r="AT296" s="913"/>
      <c r="AU296" s="258"/>
      <c r="AV296" s="484"/>
      <c r="AW296" s="459"/>
    </row>
    <row r="297" spans="1:50" customFormat="1" ht="18" hidden="1" customHeight="1" thickBot="1" x14ac:dyDescent="0.3">
      <c r="A297" s="956">
        <v>27</v>
      </c>
      <c r="B297" s="107"/>
      <c r="C297" s="92" t="s">
        <v>22</v>
      </c>
      <c r="D297" s="48">
        <f>D281-D295</f>
        <v>34360</v>
      </c>
      <c r="E297" s="49"/>
      <c r="F297" s="202">
        <f>F281-F295</f>
        <v>44530</v>
      </c>
      <c r="G297" s="203"/>
      <c r="H297" s="148">
        <f>H281-H295</f>
        <v>51600</v>
      </c>
      <c r="I297" s="49"/>
      <c r="J297" s="202">
        <f>J281-J295</f>
        <v>55154</v>
      </c>
      <c r="K297" s="203"/>
      <c r="L297" s="331">
        <f>L281-L295</f>
        <v>67280</v>
      </c>
      <c r="M297" s="231"/>
      <c r="N297" s="555">
        <f>N281-N295</f>
        <v>56994</v>
      </c>
      <c r="O297" s="556"/>
      <c r="P297" s="713">
        <f>P281-P295</f>
        <v>41008</v>
      </c>
      <c r="Q297" s="403"/>
      <c r="R297" s="555">
        <f>R281-R295</f>
        <v>82261</v>
      </c>
      <c r="S297" s="556"/>
      <c r="T297" s="402">
        <f>T281-T295</f>
        <v>90197</v>
      </c>
      <c r="U297" s="403"/>
      <c r="V297" s="689">
        <f>V281-V295</f>
        <v>86860</v>
      </c>
      <c r="W297" s="880"/>
      <c r="X297" s="689">
        <f>X281-X295</f>
        <v>130379</v>
      </c>
      <c r="Y297" s="880"/>
      <c r="Z297" s="1120">
        <f>Z281-Z295</f>
        <v>121895</v>
      </c>
      <c r="AA297" s="1121"/>
      <c r="AB297" s="1169">
        <f>AB281-AB295</f>
        <v>175</v>
      </c>
      <c r="AC297" s="1143"/>
      <c r="AD297" s="561">
        <f>AD281-AD295</f>
        <v>107258</v>
      </c>
      <c r="AE297" s="568"/>
      <c r="AF297" s="1189">
        <f>AF281-AF295</f>
        <v>101027.6</v>
      </c>
      <c r="AG297" s="825"/>
      <c r="AH297" s="485">
        <f>AH281-AH295</f>
        <v>6230.399999999996</v>
      </c>
      <c r="AI297" s="468">
        <f>AH297/AF297</f>
        <v>6.1670276241343906E-2</v>
      </c>
      <c r="AJ297" s="1120">
        <f>AJ281-AJ295</f>
        <v>121720</v>
      </c>
      <c r="AK297" s="1121"/>
      <c r="AL297" s="634">
        <f>AL281-AL295</f>
        <v>116685</v>
      </c>
      <c r="AM297" s="635"/>
      <c r="AN297" s="824">
        <f>AN281-AN295</f>
        <v>116685</v>
      </c>
      <c r="AO297" s="825"/>
      <c r="AP297" s="485">
        <f>AP281-AP295</f>
        <v>9687.1666666666624</v>
      </c>
      <c r="AQ297" s="468">
        <f>AP297/AN297</f>
        <v>8.3019811172529989E-2</v>
      </c>
      <c r="AR297" s="742">
        <f>AR281-AR295</f>
        <v>92642</v>
      </c>
      <c r="AS297" s="568"/>
      <c r="AT297" s="915">
        <f>AT281-AT295</f>
        <v>104534</v>
      </c>
      <c r="AU297" s="261"/>
      <c r="AV297" s="485">
        <f>AV281-AV295</f>
        <v>14616</v>
      </c>
      <c r="AW297" s="469">
        <f>AV297/AR297</f>
        <v>0.15776861466721356</v>
      </c>
    </row>
    <row r="298" spans="1:50" customFormat="1" ht="18" hidden="1" customHeight="1" thickTop="1" x14ac:dyDescent="0.25">
      <c r="A298" s="17"/>
      <c r="B298" s="826"/>
      <c r="C298" s="827"/>
      <c r="D298" s="17"/>
      <c r="E298" s="17"/>
      <c r="F298" s="17"/>
      <c r="G298" s="17"/>
      <c r="H298" s="17"/>
      <c r="I298" s="17"/>
      <c r="J298" s="17"/>
      <c r="K298" s="828"/>
      <c r="L298" s="17"/>
      <c r="M298" s="828"/>
      <c r="N298" s="828"/>
      <c r="O298" s="828"/>
      <c r="P298" s="828"/>
      <c r="Q298" s="828"/>
      <c r="R298" s="828"/>
      <c r="S298" s="828"/>
      <c r="T298" s="829"/>
      <c r="U298" s="830"/>
      <c r="V298" s="829"/>
      <c r="W298" s="830"/>
      <c r="X298" s="892"/>
      <c r="Y298" s="829"/>
      <c r="Z298" s="830"/>
      <c r="AA298" s="830"/>
      <c r="AB298" s="1147"/>
      <c r="AC298" s="829"/>
      <c r="AD298" s="829"/>
      <c r="AE298" s="830"/>
      <c r="AF298" s="892"/>
      <c r="AG298" s="830"/>
      <c r="AH298" s="829"/>
      <c r="AI298" s="829"/>
      <c r="AJ298" s="830"/>
      <c r="AK298" s="830"/>
      <c r="AL298" s="830"/>
      <c r="AM298" s="830"/>
      <c r="AN298" s="830"/>
      <c r="AO298" s="830"/>
      <c r="AP298" s="829"/>
      <c r="AQ298" s="829"/>
      <c r="AR298" s="829"/>
      <c r="AS298" s="830"/>
      <c r="AT298" s="892"/>
      <c r="AU298" s="830"/>
      <c r="AV298" s="829"/>
      <c r="AW298" s="829"/>
      <c r="AX298" s="828"/>
    </row>
    <row r="299" spans="1:50" customFormat="1" ht="18" hidden="1" customHeight="1" x14ac:dyDescent="0.25">
      <c r="A299" s="17"/>
      <c r="B299" s="826"/>
      <c r="C299" s="17"/>
      <c r="D299" s="17"/>
      <c r="E299" s="17"/>
      <c r="F299" s="17"/>
      <c r="G299" s="17"/>
      <c r="H299" s="17"/>
      <c r="I299" s="17"/>
      <c r="J299" s="17"/>
      <c r="K299" s="828"/>
      <c r="L299" s="17"/>
      <c r="M299" s="828"/>
      <c r="N299" s="828"/>
      <c r="O299" s="828"/>
      <c r="P299" s="828"/>
      <c r="Q299" s="828"/>
      <c r="R299" s="828"/>
      <c r="S299" s="828"/>
      <c r="T299" s="829"/>
      <c r="U299" s="830"/>
      <c r="V299" s="829"/>
      <c r="W299" s="830"/>
      <c r="X299" s="835"/>
      <c r="Y299" s="836"/>
      <c r="Z299" s="835"/>
      <c r="AA299" s="836"/>
      <c r="AB299" s="1161"/>
      <c r="AC299" s="836"/>
      <c r="AD299" s="835"/>
      <c r="AE299" s="892"/>
      <c r="AF299" s="835"/>
      <c r="AG299" s="836"/>
      <c r="AH299" s="832"/>
      <c r="AI299" s="836"/>
      <c r="AJ299" s="835"/>
      <c r="AK299" s="836"/>
      <c r="AL299" s="835"/>
      <c r="AM299" s="836"/>
      <c r="AN299" s="835"/>
      <c r="AO299" s="836"/>
      <c r="AP299" s="832"/>
      <c r="AQ299" s="836"/>
      <c r="AR299" s="835"/>
      <c r="AS299" s="892"/>
      <c r="AT299" s="941"/>
      <c r="AU299" s="836"/>
      <c r="AV299" s="829"/>
      <c r="AW299" s="829"/>
      <c r="AX299" s="828"/>
    </row>
    <row r="300" spans="1:50" customFormat="1" ht="18" hidden="1" customHeight="1" x14ac:dyDescent="0.25">
      <c r="A300" s="17"/>
      <c r="B300" s="826"/>
      <c r="C300" s="17"/>
      <c r="D300" s="17"/>
      <c r="E300" s="17"/>
      <c r="F300" s="17"/>
      <c r="G300" s="17"/>
      <c r="H300" s="17"/>
      <c r="I300" s="17"/>
      <c r="J300" s="17"/>
      <c r="K300" s="828"/>
      <c r="L300" s="17"/>
      <c r="M300" s="828"/>
      <c r="N300" s="828"/>
      <c r="O300" s="828"/>
      <c r="P300" s="828"/>
      <c r="Q300" s="828"/>
      <c r="R300" s="828"/>
      <c r="S300" s="828"/>
      <c r="T300" s="829"/>
      <c r="U300" s="830"/>
      <c r="V300" s="829"/>
      <c r="W300" s="830"/>
      <c r="X300" s="835" t="s">
        <v>19</v>
      </c>
      <c r="Y300" s="836"/>
      <c r="Z300" s="835" t="s">
        <v>366</v>
      </c>
      <c r="AA300" s="836"/>
      <c r="AB300" s="1161"/>
      <c r="AC300" s="836"/>
      <c r="AD300" s="835" t="s">
        <v>19</v>
      </c>
      <c r="AE300" s="892"/>
      <c r="AF300" s="835" t="s">
        <v>366</v>
      </c>
      <c r="AG300" s="836"/>
      <c r="AH300" s="832"/>
      <c r="AI300" s="836"/>
      <c r="AJ300" s="835" t="s">
        <v>366</v>
      </c>
      <c r="AK300" s="836"/>
      <c r="AL300" s="835" t="s">
        <v>366</v>
      </c>
      <c r="AM300" s="836"/>
      <c r="AN300" s="835" t="s">
        <v>366</v>
      </c>
      <c r="AO300" s="836"/>
      <c r="AP300" s="832"/>
      <c r="AQ300" s="836"/>
      <c r="AR300" s="835" t="s">
        <v>19</v>
      </c>
      <c r="AS300" s="892"/>
      <c r="AT300" s="941" t="s">
        <v>19</v>
      </c>
      <c r="AU300" s="836"/>
      <c r="AV300" s="829"/>
      <c r="AW300" s="829"/>
      <c r="AX300" s="828"/>
    </row>
    <row r="301" spans="1:50" s="951" customFormat="1" ht="18" hidden="1" customHeight="1" x14ac:dyDescent="0.25">
      <c r="A301" s="952"/>
      <c r="B301" s="826"/>
      <c r="C301" s="959" t="s">
        <v>374</v>
      </c>
      <c r="D301" s="922">
        <f>D63+D80+D93+D106+D190+D201+D216+D228+D269</f>
        <v>39.120000000000005</v>
      </c>
      <c r="E301" s="961"/>
      <c r="F301" s="922">
        <f>F63+F80+F93+F106+F190+F201+F216+F228+F269</f>
        <v>39.120000000000005</v>
      </c>
      <c r="G301" s="961"/>
      <c r="H301" s="922">
        <f>H63+H80+H93+H106+H190+H201+H216+H228+H269</f>
        <v>39.046666666666667</v>
      </c>
      <c r="I301" s="961"/>
      <c r="J301" s="922">
        <f>J63+J80+J93+J106+J190+J201+J216+J228+J269</f>
        <v>39.696666666666665</v>
      </c>
      <c r="K301" s="961"/>
      <c r="L301" s="922">
        <f>L63+L80+L93+L106+L190+L201+L216+L228+L269</f>
        <v>40.496666666666663</v>
      </c>
      <c r="M301" s="961"/>
      <c r="N301" s="922">
        <f>N63+N80+N93+N106+N190+N201+N216+N228+N269</f>
        <v>41.046666666666667</v>
      </c>
      <c r="O301" s="961"/>
      <c r="P301" s="922">
        <f>P63+P80+P93+P106+P190+P201+P216+P228+P269</f>
        <v>41.726666666666667</v>
      </c>
      <c r="Q301" s="961"/>
      <c r="R301" s="922">
        <f>R63+R80+R93+R106+R190+R201+R216+R228+R269</f>
        <v>43.526666666666664</v>
      </c>
      <c r="S301" s="961"/>
      <c r="T301" s="922">
        <f>T63+T80+T93+T106+T190+T201+T216+T228+T269</f>
        <v>43.196666666666665</v>
      </c>
      <c r="U301" s="961"/>
      <c r="V301" s="922">
        <f>V63+V80+V93+V106+V190+V201+V216+V228+V269</f>
        <v>41.99666666666667</v>
      </c>
      <c r="W301" s="961"/>
      <c r="X301" s="922">
        <f>X63+X80+X93+X106+X190+X201+X216+X228+X269</f>
        <v>40.396666666666668</v>
      </c>
      <c r="Y301" s="961"/>
      <c r="Z301" s="922">
        <f>Z63+Z80+Z93+Z106+Z190+Z201+Z216+Z228+Z269</f>
        <v>43.586666666666666</v>
      </c>
      <c r="AA301" s="961"/>
      <c r="AB301" s="1162"/>
      <c r="AC301" s="961"/>
      <c r="AD301" s="922">
        <f>AD63+AD80+AD93+AD106+AD190+AD201+AD216+AD228+AD269</f>
        <v>42.716666666666669</v>
      </c>
      <c r="AE301" s="1172"/>
      <c r="AF301" s="922">
        <f>AF63+AF80+AF93+AF106+AF190+AF201+AF216+AF228+AF269</f>
        <v>43.096666666666671</v>
      </c>
      <c r="AG301" s="961"/>
      <c r="AH301" s="961"/>
      <c r="AI301" s="961"/>
      <c r="AJ301" s="922">
        <f>AJ63+AJ80+AJ93+AJ106+AJ190+AJ201+AJ216+AJ228+AJ269</f>
        <v>43.096666666666671</v>
      </c>
      <c r="AK301" s="961"/>
      <c r="AL301" s="922">
        <f>AL63+AL80+AL93+AL106+AL190+AL201+AL216+AL228+AL269</f>
        <v>44.096666666666671</v>
      </c>
      <c r="AM301" s="961"/>
      <c r="AN301" s="922">
        <f>AN63+AN80+AN93+AN106+AN190+AN201+AN216+AN228+AN269</f>
        <v>44.096666666666671</v>
      </c>
      <c r="AO301" s="961"/>
      <c r="AP301" s="961"/>
      <c r="AQ301" s="961"/>
      <c r="AR301" s="922">
        <f>AR63+AR80+AR93+AR106+AR190+AR201+AR216+AR228+AR269</f>
        <v>41.396666666666668</v>
      </c>
      <c r="AS301" s="961"/>
      <c r="AT301" s="927">
        <f>AT63+AT80+AT93+AT106+AT190+AT201+AT216+AT228+AT269</f>
        <v>41.396666666666668</v>
      </c>
      <c r="AU301" s="961"/>
      <c r="AV301" s="829"/>
      <c r="AW301" s="829"/>
      <c r="AX301" s="828"/>
    </row>
    <row r="302" spans="1:50" customFormat="1" ht="18" hidden="1" customHeight="1" x14ac:dyDescent="0.25">
      <c r="A302" s="17"/>
      <c r="B302" s="826"/>
      <c r="C302" s="966" t="s">
        <v>375</v>
      </c>
      <c r="D302" s="834">
        <f>D64+D81+D94+D107+D191+D202+D217+D229+D284</f>
        <v>1938559</v>
      </c>
      <c r="E302" s="961"/>
      <c r="F302" s="834">
        <f>F64+F81+F94+F107+F191+F202+F217+F229+F284</f>
        <v>1974557</v>
      </c>
      <c r="G302" s="961"/>
      <c r="H302" s="834">
        <f>H64+H81+H94+H107+H191+H202+H217+H229+H284</f>
        <v>2086253</v>
      </c>
      <c r="I302" s="961"/>
      <c r="J302" s="834">
        <f>J64+J81+J94+J107+J191+J202+J217+J229+J284</f>
        <v>2215009</v>
      </c>
      <c r="K302" s="961"/>
      <c r="L302" s="834">
        <f>L64+L81+L94+L107+L191+L202+L217+L229+L284</f>
        <v>2280706</v>
      </c>
      <c r="M302" s="961"/>
      <c r="N302" s="834">
        <f>N64+N81+N94+N107+N191+N202+N217+N229+N284</f>
        <v>2402788</v>
      </c>
      <c r="O302" s="961"/>
      <c r="P302" s="834">
        <f>P64+P81+P94+P107+P191+P202+P217+P229+P284</f>
        <v>2307686</v>
      </c>
      <c r="Q302" s="961"/>
      <c r="R302" s="834">
        <f>R64+R81+R94+R107+R191+R202+R217+R229+R284</f>
        <v>2402319</v>
      </c>
      <c r="S302" s="961"/>
      <c r="T302" s="834">
        <f>T64+T81+T94+T107+T191+T202+T217+T229+T284</f>
        <v>2479552</v>
      </c>
      <c r="U302" s="961"/>
      <c r="V302" s="834">
        <f>V64+V81+V94+V107+V191+V202+V217+V229+V284</f>
        <v>2300478</v>
      </c>
      <c r="W302" s="961"/>
      <c r="X302" s="834">
        <f>X64+X81+X94+X107+X191+X202+X217+X229+X284</f>
        <v>2235493</v>
      </c>
      <c r="Y302" s="961"/>
      <c r="Z302" s="834">
        <f>Z64+Z81+Z94+Z107+Z191+Z202+Z217+Z229+Z284</f>
        <v>2415960</v>
      </c>
      <c r="AA302" s="961"/>
      <c r="AB302" s="1162"/>
      <c r="AC302" s="961"/>
      <c r="AD302" s="834">
        <f>AD64+AD81+AD94+AD107+AD191+AD202+AD217+AD229+AD284</f>
        <v>2027189</v>
      </c>
      <c r="AE302" s="1172"/>
      <c r="AF302" s="834">
        <f>AF64+AF81+AF94+AF107+AF191+AF202+AF217+AF229+AF284</f>
        <v>2018479.5499999998</v>
      </c>
      <c r="AG302" s="961"/>
      <c r="AH302" s="961"/>
      <c r="AI302" s="931"/>
      <c r="AJ302" s="834">
        <f>AJ64+AJ81+AJ94+AJ107+AJ191+AJ202+AJ217+AJ229+AJ284</f>
        <v>2437660</v>
      </c>
      <c r="AK302" s="961"/>
      <c r="AL302" s="834">
        <f>AL64+AL81+AL94+AL107+AL191+AL202+AL217+AL229+AL284</f>
        <v>2428055</v>
      </c>
      <c r="AM302" s="961"/>
      <c r="AN302" s="834">
        <f>AN64+AN81+AN94+AN107+AN191+AN202+AN217+AN229+AN284</f>
        <v>2428055</v>
      </c>
      <c r="AO302" s="961"/>
      <c r="AP302" s="961"/>
      <c r="AQ302" s="931"/>
      <c r="AR302" s="834">
        <f>AR64+AR81+AR94+AR107+AR191+AR202+AR217+AR229+AR284</f>
        <v>1920110</v>
      </c>
      <c r="AS302" s="961"/>
      <c r="AT302" s="917">
        <f>AT64+AT81+AT94+AT107+AT191+AT202+AT217+AT229+AT284</f>
        <v>2316004</v>
      </c>
      <c r="AU302" s="961"/>
      <c r="AV302" s="829"/>
      <c r="AW302" s="829"/>
      <c r="AX302" s="828"/>
    </row>
    <row r="303" spans="1:50" customFormat="1" ht="18" hidden="1" customHeight="1" x14ac:dyDescent="0.25">
      <c r="A303" s="17"/>
      <c r="B303" s="826"/>
      <c r="C303" s="962" t="s">
        <v>376</v>
      </c>
      <c r="D303" s="932">
        <f>D74+D87+D101+D143+D195+D210+D222+D263+D292</f>
        <v>134325</v>
      </c>
      <c r="E303" s="17"/>
      <c r="F303" s="932">
        <f>F74+F87+F101+F143+F195+F210+F222+F263+F292</f>
        <v>97210</v>
      </c>
      <c r="G303" s="955"/>
      <c r="H303" s="932">
        <f>H74+H87+H101+H143+H195+H210+H222+H263+H292</f>
        <v>61925</v>
      </c>
      <c r="I303" s="955"/>
      <c r="J303" s="932">
        <f>J74+J87+J101+J143+J195+J210+J222+J263+J292</f>
        <v>73631</v>
      </c>
      <c r="K303" s="955"/>
      <c r="L303" s="932">
        <f>L74+L87+L101+L143+L195+L210+L222+L263+L292</f>
        <v>129433</v>
      </c>
      <c r="M303" s="955"/>
      <c r="N303" s="932">
        <f>N74+N87+N101+N143+N195+N210+N222+N263+N292</f>
        <v>150724</v>
      </c>
      <c r="O303" s="955"/>
      <c r="P303" s="932">
        <f>P74+P87+P101+P143+P195+P210+P222+P263+P292</f>
        <v>160472</v>
      </c>
      <c r="Q303" s="955"/>
      <c r="R303" s="932">
        <f>R74+R87+R101+R143+R195+R210+R222+R263+R292</f>
        <v>183768</v>
      </c>
      <c r="S303" s="955"/>
      <c r="T303" s="932">
        <f>T74+T87+T101+T143+T195+T210+T222+T263+T292</f>
        <v>198210</v>
      </c>
      <c r="U303" s="955"/>
      <c r="V303" s="932">
        <f>V74+V87+V101+V143+V195+V210+V222+V263+V292</f>
        <v>202061</v>
      </c>
      <c r="W303" s="955"/>
      <c r="X303" s="932">
        <f>X74+X87+X101+X143+X195+X210+X222+X263+X292</f>
        <v>232756</v>
      </c>
      <c r="Y303" s="955"/>
      <c r="Z303" s="932">
        <f>Z74+Z87+Z101+Z143+Z195+Z210+Z222+Z263+Z292</f>
        <v>344315</v>
      </c>
      <c r="AA303" s="955"/>
      <c r="AB303" s="1163"/>
      <c r="AC303" s="955"/>
      <c r="AD303" s="932">
        <f>AD74+AD87+AD101+AD143+AD195+AD210+AD222+AD263+AD292</f>
        <v>287086</v>
      </c>
      <c r="AE303" s="955"/>
      <c r="AF303" s="932">
        <f>AF74+AF87+AF101+AF143+AF195+AF210+AF222+AF263+AF292</f>
        <v>284665.09999999998</v>
      </c>
      <c r="AG303" s="955"/>
      <c r="AH303" s="837"/>
      <c r="AI303" s="955"/>
      <c r="AJ303" s="932">
        <f>AJ74+AJ87+AJ101+AJ143+AJ195+AJ210+AJ222+AJ263+AJ292</f>
        <v>342970</v>
      </c>
      <c r="AK303" s="955"/>
      <c r="AL303" s="932">
        <f>AL74+AL87+AL101+AL143+AL195+AL210+AL222+AL263+AL292</f>
        <v>344860</v>
      </c>
      <c r="AM303" s="955"/>
      <c r="AN303" s="932">
        <f>AN74+AN87+AN101+AN143+AN195+AN210+AN222+AN263+AN292</f>
        <v>344860</v>
      </c>
      <c r="AO303" s="955"/>
      <c r="AP303" s="837"/>
      <c r="AQ303" s="955"/>
      <c r="AR303" s="932">
        <f>AR74+AR87+AR101+AR143+AR195+AR210+AR222+AR263+AR292</f>
        <v>246799</v>
      </c>
      <c r="AS303" s="955"/>
      <c r="AT303" s="960">
        <f>AT74+AT87+AT101+AT143+AT195+AT210+AT222+AT263+AT292</f>
        <v>297187</v>
      </c>
      <c r="AU303" s="837"/>
      <c r="AV303" s="829"/>
      <c r="AW303" s="829"/>
      <c r="AX303" s="828"/>
    </row>
    <row r="304" spans="1:50" customFormat="1" ht="18" hidden="1" customHeight="1" x14ac:dyDescent="0.25">
      <c r="A304" s="17"/>
      <c r="B304" s="826"/>
      <c r="C304" s="965" t="s">
        <v>377</v>
      </c>
      <c r="D304" s="833">
        <f>D75+D88+D102+D144+D196+D211+D223+D264+D293</f>
        <v>135081</v>
      </c>
      <c r="E304" s="838"/>
      <c r="F304" s="833">
        <f>F75+F88+F102+F144+F196+F211+F223+F264+F293</f>
        <v>138186</v>
      </c>
      <c r="G304" s="838"/>
      <c r="H304" s="833">
        <f>H75+H88+H102+H144+H196+H211+H223+H264+H293</f>
        <v>147252</v>
      </c>
      <c r="I304" s="838"/>
      <c r="J304" s="833">
        <f>J75+J88+J102+J144+J196+J211+J223+J264+J293</f>
        <v>153918</v>
      </c>
      <c r="K304" s="838"/>
      <c r="L304" s="833">
        <f>L75+L88+L102+L144+L196+L211+L223+L264+L293</f>
        <v>160106</v>
      </c>
      <c r="M304" s="838"/>
      <c r="N304" s="833">
        <f>N75+N88+N102+N144+N196+N211+N223+N264+N293</f>
        <v>160150</v>
      </c>
      <c r="O304" s="838"/>
      <c r="P304" s="833">
        <f>P75+P88+P102+P144+P196+P211+P223+P264+P293</f>
        <v>161345</v>
      </c>
      <c r="Q304" s="838"/>
      <c r="R304" s="833">
        <f>R75+R88+R102+R144+R196+R211+R223+R264+R293</f>
        <v>167219</v>
      </c>
      <c r="S304" s="838"/>
      <c r="T304" s="833">
        <f>T75+T88+T102+T144+T196+T211+T223+T264+T293</f>
        <v>173117</v>
      </c>
      <c r="U304" s="838"/>
      <c r="V304" s="833">
        <f>V75+V88+V102+V144+V196+V211+V223+V264+V293</f>
        <v>159260</v>
      </c>
      <c r="W304" s="838"/>
      <c r="X304" s="833">
        <f>X75+X88+X102+X144+X196+X211+X223+X264+X293</f>
        <v>157464</v>
      </c>
      <c r="Y304" s="838"/>
      <c r="Z304" s="833">
        <f>Z75+Z88+Z102+Z144+Z196+Z211+Z223+Z264+Z293</f>
        <v>184820</v>
      </c>
      <c r="AA304" s="838"/>
      <c r="AB304" s="1164"/>
      <c r="AC304" s="838"/>
      <c r="AD304" s="833">
        <f>AD75+AD88+AD102+AD144+AD196+AD211+AD223+AD264+AD293</f>
        <v>146517</v>
      </c>
      <c r="AE304" s="1173"/>
      <c r="AF304" s="833">
        <f>AF75+AF88+AF102+AF144+AF196+AF211+AF223+AF264+AF293</f>
        <v>154790.85</v>
      </c>
      <c r="AG304" s="838"/>
      <c r="AH304" s="838"/>
      <c r="AI304" s="920"/>
      <c r="AJ304" s="833">
        <f>AJ75+AJ88+AJ102+AJ144+AJ196+AJ211+AJ223+AJ264+AJ293</f>
        <v>186495</v>
      </c>
      <c r="AK304" s="838"/>
      <c r="AL304" s="833">
        <f>AL75+AL88+AL102+AL144+AL196+AL211+AL223+AL264+AL293</f>
        <v>185745</v>
      </c>
      <c r="AM304" s="838"/>
      <c r="AN304" s="833">
        <f>AN75+AN88+AN102+AN144+AN196+AN211+AN223+AN264+AN293</f>
        <v>185745</v>
      </c>
      <c r="AO304" s="838"/>
      <c r="AP304" s="838"/>
      <c r="AQ304" s="920"/>
      <c r="AR304" s="833">
        <f>AR75+AR88+AR102+AR144+AR196+AR211+AR223+AR264+AR293</f>
        <v>134731</v>
      </c>
      <c r="AS304" s="838"/>
      <c r="AT304" s="926">
        <f>AT75+AT88+AT102+AT144+AT196+AT211+AT223+AT264+AT293</f>
        <v>163629</v>
      </c>
      <c r="AU304" s="838"/>
      <c r="AV304" s="829"/>
      <c r="AW304" s="829"/>
      <c r="AX304" s="828"/>
    </row>
    <row r="305" spans="1:50" customFormat="1" ht="18" hidden="1" customHeight="1" x14ac:dyDescent="0.25">
      <c r="A305" s="17"/>
      <c r="B305" s="826"/>
      <c r="C305" s="962" t="s">
        <v>378</v>
      </c>
      <c r="D305" s="839">
        <f>D76+D89+D103+D145+D197+D212+D224+D265+D294</f>
        <v>89292</v>
      </c>
      <c r="E305" s="17"/>
      <c r="F305" s="839">
        <f>F76+F89+F103+F145+F197+F212+F224+F265+F294</f>
        <v>110461</v>
      </c>
      <c r="G305" s="955"/>
      <c r="H305" s="839">
        <f>H76+H89+H103+H145+H197+H212+H224+H265+H294</f>
        <v>114859</v>
      </c>
      <c r="I305" s="955"/>
      <c r="J305" s="839">
        <f>J76+J89+J103+J145+J197+J212+J224+J265+J294</f>
        <v>135062</v>
      </c>
      <c r="K305" s="955"/>
      <c r="L305" s="839">
        <f>L76+L89+L103+L145+L197+L212+L224+L265+L294</f>
        <v>141244</v>
      </c>
      <c r="M305" s="955"/>
      <c r="N305" s="839">
        <f>N76+N89+N103+N145+N197+N212+N224+N265+N294</f>
        <v>149152</v>
      </c>
      <c r="O305" s="955"/>
      <c r="P305" s="839">
        <f>P76+P89+P103+P145+P197+P212+P224+P265+P294</f>
        <v>148507</v>
      </c>
      <c r="Q305" s="955"/>
      <c r="R305" s="839">
        <f>R76+R89+R103+R145+R197+R212+R224+R265+R294</f>
        <v>164286</v>
      </c>
      <c r="S305" s="955"/>
      <c r="T305" s="839">
        <f>T76+T89+T103+T145+T197+T212+T224+T265+T294</f>
        <v>170887</v>
      </c>
      <c r="U305" s="955"/>
      <c r="V305" s="839">
        <f>V76+V89+V103+V145+V197+V212+V224+V265+V294</f>
        <v>180639</v>
      </c>
      <c r="W305" s="955"/>
      <c r="X305" s="839">
        <f>X76+X89+X103+X145+X197+X212+X224+X265+X294</f>
        <v>183545</v>
      </c>
      <c r="Y305" s="955"/>
      <c r="Z305" s="839">
        <f>Z76+Z89+Z103+Z145+Z197+Z212+Z224+Z265+Z294</f>
        <v>218425</v>
      </c>
      <c r="AA305" s="955"/>
      <c r="AB305" s="1163"/>
      <c r="AC305" s="955"/>
      <c r="AD305" s="839">
        <f>AD76+AD89+AD103+AD145+AD197+AD212+AD224+AD265+AD294</f>
        <v>175443</v>
      </c>
      <c r="AE305" s="955"/>
      <c r="AF305" s="839">
        <f>AF76+AF89+AF103+AF145+AF197+AF212+AF224+AF265+AF294</f>
        <v>183450.74999999994</v>
      </c>
      <c r="AG305" s="955"/>
      <c r="AH305" s="940"/>
      <c r="AI305" s="955"/>
      <c r="AJ305" s="839">
        <f>AJ76+AJ89+AJ103+AJ145+AJ197+AJ212+AJ224+AJ265+AJ294</f>
        <v>221025</v>
      </c>
      <c r="AK305" s="955"/>
      <c r="AL305" s="839">
        <f>AL76+AL89+AL103+AL145+AL197+AL212+AL224+AL265+AL294</f>
        <v>217560</v>
      </c>
      <c r="AM305" s="955"/>
      <c r="AN305" s="839">
        <f>AN76+AN89+AN103+AN145+AN197+AN212+AN224+AN265+AN294</f>
        <v>217560</v>
      </c>
      <c r="AO305" s="955"/>
      <c r="AP305" s="940"/>
      <c r="AQ305" s="955"/>
      <c r="AR305" s="839">
        <f>AR76+AR89+AR103+AR145+AR197+AR212+AR224+AR265+AR294</f>
        <v>153687</v>
      </c>
      <c r="AS305" s="955"/>
      <c r="AT305" s="925">
        <f>AT76+AT89+AT103+AT145+AT197+AT212+AT224+AT265+AT294</f>
        <v>185658</v>
      </c>
      <c r="AU305" s="837"/>
      <c r="AV305" s="829"/>
      <c r="AW305" s="829"/>
      <c r="AX305" s="828"/>
    </row>
    <row r="306" spans="1:50" s="954" customFormat="1" ht="18" hidden="1" customHeight="1" x14ac:dyDescent="0.25">
      <c r="A306" s="955"/>
      <c r="B306" s="826"/>
      <c r="C306" s="964" t="s">
        <v>379</v>
      </c>
      <c r="D306" s="834">
        <f>SUM(D303:D305)</f>
        <v>358698</v>
      </c>
      <c r="E306" s="961"/>
      <c r="F306" s="834">
        <f>SUM(F303:F305)</f>
        <v>345857</v>
      </c>
      <c r="G306" s="961"/>
      <c r="H306" s="834">
        <f>SUM(H303:H305)</f>
        <v>324036</v>
      </c>
      <c r="I306" s="961"/>
      <c r="J306" s="834">
        <f>SUM(J303:J305)</f>
        <v>362611</v>
      </c>
      <c r="K306" s="961"/>
      <c r="L306" s="834">
        <f>SUM(L303:L305)</f>
        <v>430783</v>
      </c>
      <c r="M306" s="961"/>
      <c r="N306" s="834">
        <f>SUM(N303:N305)</f>
        <v>460026</v>
      </c>
      <c r="O306" s="961"/>
      <c r="P306" s="834">
        <f>SUM(P303:P305)</f>
        <v>470324</v>
      </c>
      <c r="Q306" s="961"/>
      <c r="R306" s="834">
        <f>SUM(R303:R305)</f>
        <v>515273</v>
      </c>
      <c r="S306" s="961"/>
      <c r="T306" s="834">
        <f>SUM(T303:T305)</f>
        <v>542214</v>
      </c>
      <c r="U306" s="961"/>
      <c r="V306" s="834">
        <f>SUM(V303:V305)</f>
        <v>541960</v>
      </c>
      <c r="W306" s="961"/>
      <c r="X306" s="834">
        <f>SUM(X303:X305)</f>
        <v>573765</v>
      </c>
      <c r="Y306" s="961"/>
      <c r="Z306" s="834">
        <f>SUM(Z303:Z305)</f>
        <v>747560</v>
      </c>
      <c r="AA306" s="961"/>
      <c r="AB306" s="1162"/>
      <c r="AC306" s="961"/>
      <c r="AD306" s="834">
        <f>SUM(AD303:AD305)</f>
        <v>609046</v>
      </c>
      <c r="AE306" s="1172"/>
      <c r="AF306" s="834">
        <f>SUM(AF303:AF305)</f>
        <v>622906.69999999995</v>
      </c>
      <c r="AG306" s="961"/>
      <c r="AH306" s="961"/>
      <c r="AI306" s="961"/>
      <c r="AJ306" s="834">
        <f>SUM(AJ303:AJ305)</f>
        <v>750490</v>
      </c>
      <c r="AK306" s="961"/>
      <c r="AL306" s="834">
        <f>SUM(AL303:AL305)</f>
        <v>748165</v>
      </c>
      <c r="AM306" s="961"/>
      <c r="AN306" s="834">
        <f>SUM(AN303:AN305)</f>
        <v>748165</v>
      </c>
      <c r="AO306" s="961"/>
      <c r="AP306" s="961"/>
      <c r="AQ306" s="961"/>
      <c r="AR306" s="834">
        <f>SUM(AR303:AR305)</f>
        <v>535217</v>
      </c>
      <c r="AS306" s="961"/>
      <c r="AT306" s="917">
        <f>SUM(AT303:AT305)</f>
        <v>646474</v>
      </c>
      <c r="AU306" s="961"/>
      <c r="AV306" s="829"/>
      <c r="AW306" s="829"/>
      <c r="AX306" s="828"/>
    </row>
    <row r="307" spans="1:50" s="954" customFormat="1" ht="18" hidden="1" customHeight="1" thickBot="1" x14ac:dyDescent="0.3">
      <c r="A307" s="955"/>
      <c r="B307" s="826"/>
      <c r="C307" s="967" t="s">
        <v>380</v>
      </c>
      <c r="D307" s="930">
        <f>D302+D306</f>
        <v>2297257</v>
      </c>
      <c r="E307" s="919"/>
      <c r="F307" s="930">
        <f>F302+F306</f>
        <v>2320414</v>
      </c>
      <c r="G307" s="919"/>
      <c r="H307" s="930">
        <f>H302+H306</f>
        <v>2410289</v>
      </c>
      <c r="I307" s="919"/>
      <c r="J307" s="930">
        <f>J302+J306</f>
        <v>2577620</v>
      </c>
      <c r="K307" s="919"/>
      <c r="L307" s="930">
        <f>L302+L306</f>
        <v>2711489</v>
      </c>
      <c r="M307" s="919"/>
      <c r="N307" s="930">
        <f>N302+N306</f>
        <v>2862814</v>
      </c>
      <c r="O307" s="919"/>
      <c r="P307" s="930">
        <f>P302+P306</f>
        <v>2778010</v>
      </c>
      <c r="Q307" s="919"/>
      <c r="R307" s="930">
        <f>R302+R306</f>
        <v>2917592</v>
      </c>
      <c r="S307" s="919"/>
      <c r="T307" s="930">
        <f>T302+T306</f>
        <v>3021766</v>
      </c>
      <c r="U307" s="919"/>
      <c r="V307" s="930">
        <f>V302+V306</f>
        <v>2842438</v>
      </c>
      <c r="W307" s="919"/>
      <c r="X307" s="930">
        <f>X302+X306</f>
        <v>2809258</v>
      </c>
      <c r="Y307" s="919"/>
      <c r="Z307" s="930">
        <f>Z302+Z306</f>
        <v>3163520</v>
      </c>
      <c r="AA307" s="919"/>
      <c r="AB307" s="1165"/>
      <c r="AC307" s="919"/>
      <c r="AD307" s="930">
        <f>AD302+AD306</f>
        <v>2636235</v>
      </c>
      <c r="AE307" s="1174"/>
      <c r="AF307" s="930">
        <f>AF302+AF306</f>
        <v>2641386.25</v>
      </c>
      <c r="AG307" s="919"/>
      <c r="AH307" s="919"/>
      <c r="AI307" s="919"/>
      <c r="AJ307" s="930">
        <f>AJ302+AJ306</f>
        <v>3188150</v>
      </c>
      <c r="AK307" s="919"/>
      <c r="AL307" s="930">
        <f>AL302+AL306</f>
        <v>3176220</v>
      </c>
      <c r="AM307" s="919"/>
      <c r="AN307" s="930">
        <f>AN302+AN306</f>
        <v>3176220</v>
      </c>
      <c r="AO307" s="919"/>
      <c r="AP307" s="919"/>
      <c r="AQ307" s="919"/>
      <c r="AR307" s="930">
        <f>AR302+AR306</f>
        <v>2455327</v>
      </c>
      <c r="AS307" s="919"/>
      <c r="AT307" s="928">
        <f>AT302+AT306</f>
        <v>2962478</v>
      </c>
      <c r="AU307" s="919"/>
      <c r="AV307" s="829"/>
      <c r="AW307" s="829"/>
      <c r="AX307" s="828"/>
    </row>
    <row r="308" spans="1:50" s="954" customFormat="1" ht="18" hidden="1" customHeight="1" thickTop="1" x14ac:dyDescent="0.25">
      <c r="A308" s="955"/>
      <c r="B308" s="826"/>
      <c r="C308" s="916"/>
      <c r="D308" s="831"/>
      <c r="E308" s="935"/>
      <c r="F308" s="929"/>
      <c r="G308" s="935"/>
      <c r="H308" s="929"/>
      <c r="I308" s="935"/>
      <c r="J308" s="929"/>
      <c r="K308" s="935"/>
      <c r="L308" s="929"/>
      <c r="M308" s="935"/>
      <c r="N308" s="929"/>
      <c r="O308" s="935"/>
      <c r="P308" s="929"/>
      <c r="Q308" s="935"/>
      <c r="R308" s="929"/>
      <c r="S308" s="935"/>
      <c r="T308" s="929"/>
      <c r="U308" s="935"/>
      <c r="V308" s="929"/>
      <c r="W308" s="935"/>
      <c r="X308" s="929"/>
      <c r="Y308" s="935"/>
      <c r="Z308" s="929"/>
      <c r="AA308" s="935"/>
      <c r="AB308" s="1166"/>
      <c r="AC308" s="935"/>
      <c r="AD308" s="929"/>
      <c r="AE308" s="1175"/>
      <c r="AF308" s="929"/>
      <c r="AG308" s="935"/>
      <c r="AH308" s="935"/>
      <c r="AI308" s="955"/>
      <c r="AJ308" s="929"/>
      <c r="AK308" s="935"/>
      <c r="AL308" s="929"/>
      <c r="AM308" s="935"/>
      <c r="AN308" s="929"/>
      <c r="AO308" s="935"/>
      <c r="AP308" s="935"/>
      <c r="AQ308" s="955"/>
      <c r="AR308" s="929"/>
      <c r="AS308" s="955"/>
      <c r="AT308" s="923"/>
      <c r="AU308" s="918"/>
      <c r="AV308" s="829"/>
      <c r="AW308" s="829"/>
      <c r="AX308" s="828"/>
    </row>
    <row r="309" spans="1:50" customFormat="1" ht="18" hidden="1" customHeight="1" x14ac:dyDescent="0.25">
      <c r="A309" s="17"/>
      <c r="B309" s="826"/>
      <c r="C309" s="964" t="s">
        <v>381</v>
      </c>
      <c r="D309" s="921">
        <f>D307/D34</f>
        <v>0.5294526739708888</v>
      </c>
      <c r="E309" s="961"/>
      <c r="F309" s="934">
        <f>F307/F34</f>
        <v>0.53332662197175662</v>
      </c>
      <c r="G309" s="961"/>
      <c r="H309" s="934">
        <f>H307/H34</f>
        <v>0.53285131914630213</v>
      </c>
      <c r="I309" s="961"/>
      <c r="J309" s="934">
        <f>J307/J34</f>
        <v>0.55833089469795538</v>
      </c>
      <c r="K309" s="961"/>
      <c r="L309" s="934">
        <f>L307/L34</f>
        <v>0.56916667908629848</v>
      </c>
      <c r="M309" s="961"/>
      <c r="N309" s="934">
        <f>N307/N34</f>
        <v>0.605209878563291</v>
      </c>
      <c r="O309" s="961"/>
      <c r="P309" s="934">
        <f>P307/P34</f>
        <v>0.607671951074928</v>
      </c>
      <c r="Q309" s="961"/>
      <c r="R309" s="934">
        <f>R307/R34</f>
        <v>0.58074268227579462</v>
      </c>
      <c r="S309" s="961"/>
      <c r="T309" s="934">
        <f>T307/T34</f>
        <v>0.62570928355708688</v>
      </c>
      <c r="U309" s="961"/>
      <c r="V309" s="934">
        <f>V307/V34</f>
        <v>0.60165503723780867</v>
      </c>
      <c r="W309" s="961"/>
      <c r="X309" s="934">
        <f>X307/X34</f>
        <v>0.58533976279768796</v>
      </c>
      <c r="Y309" s="961"/>
      <c r="Z309" s="934">
        <f>Z307/Z34</f>
        <v>0.65175009296676789</v>
      </c>
      <c r="AA309" s="961"/>
      <c r="AB309" s="1162"/>
      <c r="AC309" s="961"/>
      <c r="AD309" s="934">
        <f>AD307/AD34</f>
        <v>0.62427123540694784</v>
      </c>
      <c r="AE309" s="1172"/>
      <c r="AF309" s="934">
        <f>AF307/AF34</f>
        <v>0.62232307387072705</v>
      </c>
      <c r="AG309" s="961"/>
      <c r="AH309" s="961"/>
      <c r="AI309" s="924"/>
      <c r="AJ309" s="934">
        <f>AJ307/AJ34</f>
        <v>0.63562397074831833</v>
      </c>
      <c r="AK309" s="961"/>
      <c r="AL309" s="934">
        <f>AL307/AL34</f>
        <v>0.62614980030043643</v>
      </c>
      <c r="AM309" s="961"/>
      <c r="AN309" s="934">
        <f>AN307/AN34</f>
        <v>0.62614980030043643</v>
      </c>
      <c r="AO309" s="961"/>
      <c r="AP309" s="961"/>
      <c r="AQ309" s="924"/>
      <c r="AR309" s="934">
        <f>AR307/AR34</f>
        <v>0.59018368012122269</v>
      </c>
      <c r="AS309" s="924"/>
      <c r="AT309" s="933">
        <f>AT307/AT34</f>
        <v>0.60032053808573227</v>
      </c>
      <c r="AU309" s="931"/>
      <c r="AV309" s="829"/>
      <c r="AW309" s="829"/>
      <c r="AX309" s="828"/>
    </row>
    <row r="310" spans="1:50" customFormat="1" ht="18" hidden="1" customHeight="1" x14ac:dyDescent="0.25">
      <c r="A310" s="17"/>
      <c r="B310" s="826"/>
      <c r="C310" s="966" t="s">
        <v>382</v>
      </c>
      <c r="D310" s="921">
        <f>D307/D11</f>
        <v>0.43640618251017238</v>
      </c>
      <c r="E310" s="961"/>
      <c r="F310" s="934">
        <f>F307/F11</f>
        <v>0.45390364758009821</v>
      </c>
      <c r="G310" s="961"/>
      <c r="H310" s="934">
        <f>H307/H11</f>
        <v>0.44184941487636759</v>
      </c>
      <c r="I310" s="961"/>
      <c r="J310" s="934">
        <f>J307/J11</f>
        <v>0.46127187718266288</v>
      </c>
      <c r="K310" s="961"/>
      <c r="L310" s="934">
        <f>L307/L11</f>
        <v>0.5284210407335056</v>
      </c>
      <c r="M310" s="961"/>
      <c r="N310" s="934">
        <f>N307/N11</f>
        <v>0.52697998027056092</v>
      </c>
      <c r="O310" s="961"/>
      <c r="P310" s="934">
        <f>P307/P11</f>
        <v>0.4783250487664234</v>
      </c>
      <c r="Q310" s="961"/>
      <c r="R310" s="934">
        <f>R307/R11</f>
        <v>0.55158692272600696</v>
      </c>
      <c r="S310" s="961"/>
      <c r="T310" s="934">
        <f>T307/T11</f>
        <v>0.62160702178220428</v>
      </c>
      <c r="U310" s="961"/>
      <c r="V310" s="934">
        <f>V307/V11</f>
        <v>0.52757627564415355</v>
      </c>
      <c r="W310" s="961"/>
      <c r="X310" s="934">
        <f>X307/X11</f>
        <v>0.52186989486652768</v>
      </c>
      <c r="Y310" s="961"/>
      <c r="Z310" s="934">
        <f>Z307/Z11</f>
        <v>0.64233908629441627</v>
      </c>
      <c r="AA310" s="961"/>
      <c r="AB310" s="1162"/>
      <c r="AC310" s="961"/>
      <c r="AD310" s="934">
        <f>AD307/AD11</f>
        <v>0.57907655188456575</v>
      </c>
      <c r="AE310" s="1172"/>
      <c r="AF310" s="934">
        <f>AF307/AF11</f>
        <v>0.55498769792577152</v>
      </c>
      <c r="AG310" s="961"/>
      <c r="AH310" s="961"/>
      <c r="AI310" s="924"/>
      <c r="AJ310" s="934">
        <f>AJ307/AJ11</f>
        <v>0.59591588785046734</v>
      </c>
      <c r="AK310" s="961"/>
      <c r="AL310" s="934">
        <f>AL307/AL11</f>
        <v>0.56718214285714286</v>
      </c>
      <c r="AM310" s="961"/>
      <c r="AN310" s="934">
        <f>AN307/AN11</f>
        <v>0.56718214285714286</v>
      </c>
      <c r="AO310" s="961"/>
      <c r="AP310" s="961"/>
      <c r="AQ310" s="924"/>
      <c r="AR310" s="934">
        <f>AR307/AR11</f>
        <v>0.51518848246525673</v>
      </c>
      <c r="AS310" s="924"/>
      <c r="AT310" s="933">
        <f>AT307/AT11</f>
        <v>0.551669312526478</v>
      </c>
      <c r="AU310" s="931"/>
      <c r="AV310" s="829"/>
      <c r="AW310" s="829"/>
      <c r="AX310" s="828"/>
    </row>
    <row r="311" spans="1:50" customFormat="1" ht="18" customHeight="1" thickTop="1" x14ac:dyDescent="0.25">
      <c r="A311" s="17"/>
      <c r="B311" s="826"/>
      <c r="C311" s="17"/>
      <c r="D311" s="17"/>
      <c r="E311" s="17"/>
      <c r="F311" s="17"/>
      <c r="G311" s="17"/>
      <c r="H311" s="17"/>
      <c r="I311" s="17"/>
      <c r="J311" s="17"/>
      <c r="K311" s="828"/>
      <c r="L311" s="17"/>
      <c r="M311" s="828"/>
      <c r="N311" s="828"/>
      <c r="O311" s="828"/>
      <c r="P311" s="828"/>
      <c r="Q311" s="828"/>
      <c r="R311" s="828"/>
      <c r="S311" s="828"/>
      <c r="T311" s="829"/>
      <c r="U311" s="830"/>
      <c r="V311" s="829"/>
      <c r="W311" s="830"/>
      <c r="X311" s="829"/>
      <c r="Y311" s="830"/>
      <c r="Z311" s="830"/>
      <c r="AA311" s="830"/>
      <c r="AB311" s="1167"/>
      <c r="AC311" s="830"/>
      <c r="AD311" s="829"/>
      <c r="AE311" s="830"/>
      <c r="AF311" s="830"/>
      <c r="AG311" s="830"/>
      <c r="AH311" s="829"/>
      <c r="AI311" s="829"/>
      <c r="AJ311" s="830"/>
      <c r="AK311" s="830"/>
      <c r="AL311" s="830"/>
      <c r="AM311" s="830"/>
      <c r="AN311" s="830"/>
      <c r="AO311" s="828"/>
      <c r="AP311" s="829"/>
      <c r="AQ311" s="829"/>
      <c r="AR311" s="829"/>
      <c r="AS311" s="830"/>
      <c r="AT311" s="829"/>
      <c r="AU311" s="830"/>
      <c r="AV311" s="829"/>
      <c r="AW311" s="829"/>
      <c r="AX311" s="828"/>
    </row>
    <row r="312" spans="1:50" customFormat="1" ht="18" customHeight="1" x14ac:dyDescent="0.15">
      <c r="A312" s="12"/>
      <c r="B312" s="74"/>
      <c r="C312" s="12"/>
      <c r="D312" s="12"/>
      <c r="E312" s="8"/>
      <c r="F312" s="12"/>
      <c r="G312" s="8"/>
      <c r="H312" s="15"/>
      <c r="I312" s="13"/>
      <c r="J312" s="13"/>
      <c r="L312" s="13"/>
      <c r="N312" s="404"/>
      <c r="O312" s="404"/>
      <c r="P312" s="404"/>
      <c r="Q312" s="404"/>
      <c r="R312" s="404"/>
      <c r="S312" s="404"/>
      <c r="T312" s="405"/>
      <c r="U312" s="406"/>
      <c r="V312" s="405"/>
      <c r="W312" s="406"/>
      <c r="X312" s="232"/>
      <c r="Y312" s="233"/>
      <c r="Z312" s="233"/>
      <c r="AA312" s="233"/>
      <c r="AB312" s="1168"/>
      <c r="AC312" s="233"/>
      <c r="AD312" s="232"/>
      <c r="AE312" s="233"/>
      <c r="AF312" s="233"/>
      <c r="AG312" s="233"/>
      <c r="AH312" s="232"/>
      <c r="AI312" s="232"/>
      <c r="AJ312" s="233"/>
      <c r="AK312" s="233"/>
      <c r="AL312" s="233"/>
      <c r="AM312" s="233"/>
      <c r="AN312" s="233"/>
      <c r="AP312" s="232"/>
      <c r="AQ312" s="232"/>
      <c r="AR312" s="232"/>
      <c r="AS312" s="233"/>
      <c r="AT312" s="232"/>
      <c r="AU312" s="233"/>
      <c r="AV312" s="232"/>
      <c r="AW312" s="232"/>
    </row>
    <row r="313" spans="1:50" customFormat="1" ht="18" customHeight="1" x14ac:dyDescent="0.15">
      <c r="A313" s="12"/>
      <c r="B313" s="74"/>
      <c r="C313" s="12"/>
      <c r="D313" s="12"/>
      <c r="E313" s="8"/>
      <c r="F313" s="12"/>
      <c r="G313" s="8"/>
      <c r="H313" s="15"/>
      <c r="I313" s="13"/>
      <c r="J313" s="13"/>
      <c r="L313" s="13"/>
      <c r="N313" s="404"/>
      <c r="O313" s="404"/>
      <c r="P313" s="404"/>
      <c r="Q313" s="404"/>
      <c r="R313" s="404"/>
      <c r="S313" s="404"/>
      <c r="T313" s="405"/>
      <c r="U313" s="406"/>
      <c r="V313" s="405"/>
      <c r="W313" s="406"/>
      <c r="X313" s="232"/>
      <c r="Y313" s="233"/>
      <c r="Z313" s="233"/>
      <c r="AA313" s="233"/>
      <c r="AB313" s="1168"/>
      <c r="AC313" s="233"/>
      <c r="AD313" s="232"/>
      <c r="AE313" s="233"/>
      <c r="AF313" s="233"/>
      <c r="AG313" s="233"/>
      <c r="AH313" s="232"/>
      <c r="AI313" s="232"/>
      <c r="AJ313" s="233"/>
      <c r="AK313" s="233"/>
      <c r="AL313" s="233"/>
      <c r="AM313" s="233"/>
      <c r="AN313" s="233"/>
      <c r="AP313" s="232"/>
      <c r="AQ313" s="232"/>
      <c r="AR313" s="232"/>
      <c r="AS313" s="233"/>
      <c r="AT313" s="232"/>
      <c r="AU313" s="233"/>
      <c r="AV313" s="232"/>
      <c r="AW313" s="232"/>
    </row>
    <row r="314" spans="1:50" customFormat="1" ht="18" customHeight="1" x14ac:dyDescent="0.15">
      <c r="A314" s="12"/>
      <c r="B314" s="74"/>
      <c r="C314" s="12"/>
      <c r="D314" s="12"/>
      <c r="E314" s="8"/>
      <c r="F314" s="12"/>
      <c r="G314" s="8"/>
      <c r="H314" s="15"/>
      <c r="I314" s="13"/>
      <c r="J314" s="13"/>
      <c r="L314" s="13"/>
      <c r="N314" s="404"/>
      <c r="O314" s="404"/>
      <c r="P314" s="404"/>
      <c r="Q314" s="404"/>
      <c r="R314" s="404"/>
      <c r="S314" s="404"/>
      <c r="T314" s="405"/>
      <c r="U314" s="406"/>
      <c r="V314" s="405"/>
      <c r="W314" s="406"/>
      <c r="X314" s="232"/>
      <c r="Y314" s="233"/>
      <c r="Z314" s="233"/>
      <c r="AA314" s="233"/>
      <c r="AB314" s="1168"/>
      <c r="AC314" s="233"/>
      <c r="AD314" s="232"/>
      <c r="AE314" s="233"/>
      <c r="AF314" s="233"/>
      <c r="AG314" s="233"/>
      <c r="AH314" s="232"/>
      <c r="AI314" s="232"/>
      <c r="AJ314" s="233"/>
      <c r="AK314" s="233"/>
      <c r="AL314" s="233"/>
      <c r="AM314" s="233"/>
      <c r="AN314" s="233"/>
      <c r="AP314" s="232"/>
      <c r="AQ314" s="232"/>
      <c r="AR314" s="232"/>
      <c r="AS314" s="233"/>
      <c r="AT314" s="232"/>
      <c r="AU314" s="233"/>
      <c r="AV314" s="232"/>
      <c r="AW314" s="232"/>
    </row>
    <row r="315" spans="1:50" customFormat="1" ht="18" customHeight="1" x14ac:dyDescent="0.15">
      <c r="A315" s="12"/>
      <c r="B315" s="74"/>
      <c r="C315" s="12"/>
      <c r="D315" s="12"/>
      <c r="E315" s="8"/>
      <c r="F315" s="12"/>
      <c r="G315" s="8"/>
      <c r="H315" s="15"/>
      <c r="I315" s="13"/>
      <c r="J315" s="13"/>
      <c r="L315" s="13"/>
      <c r="N315" s="404"/>
      <c r="O315" s="404"/>
      <c r="P315" s="404"/>
      <c r="Q315" s="404"/>
      <c r="R315" s="404"/>
      <c r="S315" s="404"/>
      <c r="T315" s="405"/>
      <c r="U315" s="406"/>
      <c r="V315" s="405"/>
      <c r="W315" s="406"/>
      <c r="X315" s="232"/>
      <c r="Y315" s="233"/>
      <c r="Z315" s="233"/>
      <c r="AA315" s="233"/>
      <c r="AB315" s="1168"/>
      <c r="AC315" s="233"/>
      <c r="AD315" s="232"/>
      <c r="AE315" s="233"/>
      <c r="AF315" s="233"/>
      <c r="AG315" s="233"/>
      <c r="AH315" s="232"/>
      <c r="AI315" s="232"/>
      <c r="AJ315" s="233"/>
      <c r="AK315" s="233"/>
      <c r="AL315" s="233"/>
      <c r="AM315" s="233"/>
      <c r="AN315" s="233"/>
      <c r="AP315" s="232"/>
      <c r="AQ315" s="232"/>
      <c r="AR315" s="232"/>
      <c r="AS315" s="233"/>
      <c r="AT315" s="232"/>
      <c r="AU315" s="233"/>
      <c r="AV315" s="232"/>
      <c r="AW315" s="232"/>
    </row>
    <row r="316" spans="1:50" customFormat="1" ht="18" customHeight="1" x14ac:dyDescent="0.15">
      <c r="A316" s="12"/>
      <c r="B316" s="74"/>
      <c r="C316" s="12"/>
      <c r="D316" s="12"/>
      <c r="E316" s="8"/>
      <c r="F316" s="12"/>
      <c r="G316" s="8"/>
      <c r="H316" s="15"/>
      <c r="I316" s="13"/>
      <c r="J316" s="13"/>
      <c r="L316" s="13"/>
      <c r="N316" s="404"/>
      <c r="O316" s="404"/>
      <c r="P316" s="404"/>
      <c r="Q316" s="404"/>
      <c r="R316" s="404"/>
      <c r="S316" s="404"/>
      <c r="T316" s="405"/>
      <c r="U316" s="406"/>
      <c r="V316" s="405"/>
      <c r="W316" s="406"/>
      <c r="X316" s="232"/>
      <c r="Y316" s="233"/>
      <c r="Z316" s="233"/>
      <c r="AA316" s="233"/>
      <c r="AB316" s="1168"/>
      <c r="AC316" s="233"/>
      <c r="AD316" s="232"/>
      <c r="AE316" s="233"/>
      <c r="AF316" s="233"/>
      <c r="AG316" s="233"/>
      <c r="AH316" s="232"/>
      <c r="AI316" s="232"/>
      <c r="AJ316" s="233"/>
      <c r="AK316" s="233"/>
      <c r="AL316" s="233"/>
      <c r="AM316" s="233"/>
      <c r="AN316" s="233"/>
      <c r="AP316" s="232"/>
      <c r="AQ316" s="232"/>
      <c r="AR316" s="232"/>
      <c r="AS316" s="233"/>
      <c r="AT316" s="232"/>
      <c r="AU316" s="233"/>
      <c r="AV316" s="232"/>
      <c r="AW316" s="232"/>
    </row>
    <row r="317" spans="1:50" customFormat="1" ht="18" customHeight="1" x14ac:dyDescent="0.15">
      <c r="A317" s="12"/>
      <c r="B317" s="74"/>
      <c r="C317" s="12"/>
      <c r="D317" s="12"/>
      <c r="E317" s="8"/>
      <c r="F317" s="12"/>
      <c r="G317" s="8"/>
      <c r="H317" s="15"/>
      <c r="I317" s="13"/>
      <c r="J317" s="13"/>
      <c r="L317" s="13"/>
      <c r="N317" s="404"/>
      <c r="O317" s="404"/>
      <c r="P317" s="404"/>
      <c r="Q317" s="404"/>
      <c r="R317" s="404"/>
      <c r="S317" s="404"/>
      <c r="T317" s="405"/>
      <c r="U317" s="406"/>
      <c r="V317" s="405"/>
      <c r="W317" s="406"/>
      <c r="X317" s="232"/>
      <c r="Y317" s="233"/>
      <c r="Z317" s="233"/>
      <c r="AA317" s="233"/>
      <c r="AB317" s="233"/>
      <c r="AC317" s="233"/>
      <c r="AD317" s="232"/>
      <c r="AE317" s="233"/>
      <c r="AF317" s="233"/>
      <c r="AG317" s="233"/>
      <c r="AH317" s="232"/>
      <c r="AI317" s="232"/>
      <c r="AJ317" s="233"/>
      <c r="AK317" s="233"/>
      <c r="AL317" s="233"/>
      <c r="AM317" s="233"/>
      <c r="AN317" s="233"/>
      <c r="AP317" s="232"/>
      <c r="AQ317" s="232"/>
      <c r="AR317" s="232"/>
      <c r="AS317" s="233"/>
      <c r="AT317" s="232"/>
      <c r="AU317" s="233"/>
      <c r="AV317" s="232"/>
      <c r="AW317" s="232"/>
    </row>
    <row r="318" spans="1:50" customFormat="1" ht="18" customHeight="1" x14ac:dyDescent="0.15">
      <c r="A318" s="12"/>
      <c r="B318" s="74"/>
      <c r="C318" s="12"/>
      <c r="D318" s="12"/>
      <c r="E318" s="8"/>
      <c r="F318" s="12"/>
      <c r="G318" s="8"/>
      <c r="H318" s="15"/>
      <c r="I318" s="13"/>
      <c r="J318" s="13"/>
      <c r="L318" s="13"/>
      <c r="N318" s="404"/>
      <c r="O318" s="404"/>
      <c r="P318" s="404"/>
      <c r="Q318" s="404"/>
      <c r="R318" s="404"/>
      <c r="S318" s="404"/>
      <c r="T318" s="405"/>
      <c r="U318" s="406"/>
      <c r="V318" s="405"/>
      <c r="W318" s="406"/>
      <c r="X318" s="232"/>
      <c r="Y318" s="233"/>
      <c r="Z318" s="233"/>
      <c r="AA318" s="233"/>
      <c r="AB318" s="233"/>
      <c r="AC318" s="233"/>
      <c r="AD318" s="232"/>
      <c r="AE318" s="233"/>
      <c r="AF318" s="233"/>
      <c r="AG318" s="233"/>
      <c r="AH318" s="232"/>
      <c r="AI318" s="232"/>
      <c r="AJ318" s="233"/>
      <c r="AK318" s="233"/>
      <c r="AL318" s="233"/>
      <c r="AM318" s="233"/>
      <c r="AN318" s="233"/>
      <c r="AP318" s="232"/>
      <c r="AQ318" s="232"/>
      <c r="AR318" s="232"/>
      <c r="AS318" s="233"/>
      <c r="AT318" s="232"/>
      <c r="AU318" s="233"/>
      <c r="AV318" s="232"/>
      <c r="AW318" s="232"/>
    </row>
    <row r="319" spans="1:50" customFormat="1" ht="18" customHeight="1" x14ac:dyDescent="0.15">
      <c r="A319" s="12"/>
      <c r="B319" s="74"/>
      <c r="C319" s="12"/>
      <c r="D319" s="12"/>
      <c r="E319" s="8"/>
      <c r="F319" s="12"/>
      <c r="G319" s="8"/>
      <c r="H319" s="15"/>
      <c r="I319" s="13"/>
      <c r="J319" s="13"/>
      <c r="L319" s="13"/>
      <c r="N319" s="404"/>
      <c r="O319" s="404"/>
      <c r="P319" s="404"/>
      <c r="Q319" s="404"/>
      <c r="R319" s="404"/>
      <c r="S319" s="404"/>
      <c r="T319" s="405"/>
      <c r="U319" s="406"/>
      <c r="V319" s="405"/>
      <c r="W319" s="406"/>
      <c r="X319" s="232"/>
      <c r="Y319" s="233"/>
      <c r="Z319" s="233"/>
      <c r="AA319" s="233"/>
      <c r="AB319" s="233"/>
      <c r="AC319" s="233"/>
      <c r="AD319" s="232"/>
      <c r="AE319" s="233"/>
      <c r="AF319" s="233"/>
      <c r="AG319" s="233"/>
      <c r="AH319" s="232"/>
      <c r="AI319" s="232"/>
      <c r="AJ319" s="233"/>
      <c r="AK319" s="233"/>
      <c r="AL319" s="233"/>
      <c r="AM319" s="233"/>
      <c r="AN319" s="233"/>
      <c r="AP319" s="232"/>
      <c r="AQ319" s="232"/>
      <c r="AR319" s="232"/>
      <c r="AS319" s="233"/>
      <c r="AT319" s="232"/>
      <c r="AU319" s="233"/>
      <c r="AV319" s="232"/>
      <c r="AW319" s="232"/>
    </row>
    <row r="320" spans="1:50" customFormat="1" ht="18" customHeight="1" x14ac:dyDescent="0.15">
      <c r="A320" s="12"/>
      <c r="B320" s="74"/>
      <c r="C320" s="12"/>
      <c r="D320" s="12"/>
      <c r="E320" s="8"/>
      <c r="F320" s="12"/>
      <c r="G320" s="8"/>
      <c r="H320" s="15"/>
      <c r="I320" s="13"/>
      <c r="J320" s="13"/>
      <c r="L320" s="13"/>
      <c r="N320" s="404"/>
      <c r="O320" s="404"/>
      <c r="P320" s="404"/>
      <c r="Q320" s="404"/>
      <c r="R320" s="404"/>
      <c r="S320" s="404"/>
      <c r="T320" s="405"/>
      <c r="U320" s="406"/>
      <c r="V320" s="405"/>
      <c r="W320" s="406"/>
      <c r="X320" s="232"/>
      <c r="Y320" s="233"/>
      <c r="Z320" s="233"/>
      <c r="AA320" s="233"/>
      <c r="AB320" s="233"/>
      <c r="AC320" s="233"/>
      <c r="AD320" s="232"/>
      <c r="AE320" s="233"/>
      <c r="AF320" s="233"/>
      <c r="AG320" s="233"/>
      <c r="AH320" s="232"/>
      <c r="AI320" s="232"/>
      <c r="AJ320" s="233"/>
      <c r="AK320" s="233"/>
      <c r="AL320" s="233"/>
      <c r="AM320" s="233"/>
      <c r="AN320" s="233"/>
      <c r="AP320" s="232"/>
      <c r="AQ320" s="232"/>
      <c r="AR320" s="232"/>
      <c r="AS320" s="233"/>
      <c r="AT320" s="232"/>
      <c r="AU320" s="233"/>
      <c r="AV320" s="232"/>
      <c r="AW320" s="232"/>
    </row>
  </sheetData>
  <phoneticPr fontId="19" type="noConversion"/>
  <printOptions horizontalCentered="1" verticalCentered="1"/>
  <pageMargins left="0.25" right="0.25" top="0.5" bottom="0.5" header="0.25" footer="0.25"/>
  <pageSetup scale="92" fitToHeight="2" orientation="landscape" r:id="rId1"/>
  <headerFooter alignWithMargins="0">
    <oddHeader>&amp;C&amp;"Times New Roman,Bold"&amp;12University of North Carolina Press - FY14  Budget Recommendation from Finance Committee to Board of Governors</oddHeader>
  </headerFooter>
  <rowBreaks count="9" manualBreakCount="9">
    <brk id="34" max="46" man="1"/>
    <brk id="61" max="44" man="1"/>
    <brk id="78" max="48" man="1"/>
    <brk id="91" max="44" man="1"/>
    <brk id="104" max="44" man="1"/>
    <brk id="188" max="44" man="1"/>
    <brk id="214" max="44" man="1"/>
    <brk id="243" max="44" man="1"/>
    <brk id="267" max="44" man="1"/>
  </rowBreaks>
  <ignoredErrors>
    <ignoredError sqref="AE8 AP8 AQ11 AD21 AD11 AD8 AD23 AD24:AD37 AD12 AD22 AD39 AD44:AD47 AD49 AD51:AD54" formula="1"/>
    <ignoredError sqref="AD77 AD90 AD198 AD213 AD2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budget</vt:lpstr>
      <vt:lpstr>budget!Print_Area</vt:lpstr>
      <vt:lpstr>Print_Area</vt:lpstr>
      <vt:lpstr>budget!Print_Titles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Dircks, Robbie</dc:creator>
  <cp:lastModifiedBy>Lenovo User</cp:lastModifiedBy>
  <cp:lastPrinted>2013-05-15T17:44:44Z</cp:lastPrinted>
  <dcterms:created xsi:type="dcterms:W3CDTF">2000-05-01T18:23:37Z</dcterms:created>
  <dcterms:modified xsi:type="dcterms:W3CDTF">2013-05-15T17:45:27Z</dcterms:modified>
</cp:coreProperties>
</file>