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4880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Sheet1!$A$1:$I$46</definedName>
  </definedNames>
  <calcPr calcId="125725"/>
</workbook>
</file>

<file path=xl/calcChain.xml><?xml version="1.0" encoding="utf-8"?>
<calcChain xmlns="http://schemas.openxmlformats.org/spreadsheetml/2006/main">
  <c r="C7" i="1"/>
  <c r="F7" s="1"/>
  <c r="C6"/>
  <c r="F6" s="1"/>
  <c r="C5"/>
  <c r="C9"/>
  <c r="C8"/>
  <c r="F8" s="1"/>
  <c r="C4"/>
  <c r="C15"/>
  <c r="H31"/>
  <c r="H30"/>
  <c r="H29"/>
  <c r="H27"/>
  <c r="H23"/>
  <c r="H16"/>
  <c r="H46" s="1"/>
  <c r="H15"/>
  <c r="H11"/>
  <c r="C30"/>
  <c r="F41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5"/>
  <c r="F14"/>
  <c r="F13"/>
  <c r="F10"/>
  <c r="F9"/>
  <c r="F5"/>
  <c r="F4"/>
  <c r="L10"/>
  <c r="C44" s="1"/>
  <c r="C16" s="1"/>
  <c r="P9"/>
  <c r="P8"/>
  <c r="P7"/>
  <c r="P6"/>
  <c r="P5"/>
  <c r="P4"/>
  <c r="G46"/>
  <c r="G11"/>
  <c r="I37"/>
  <c r="I30"/>
  <c r="I29"/>
  <c r="I27"/>
  <c r="I23"/>
  <c r="I16"/>
  <c r="I46" s="1"/>
  <c r="I15"/>
  <c r="I11"/>
  <c r="I10"/>
  <c r="K29"/>
  <c r="J37"/>
  <c r="N10"/>
  <c r="D11"/>
  <c r="O10"/>
  <c r="M10"/>
  <c r="E44" s="1"/>
  <c r="J10"/>
  <c r="J11" s="1"/>
  <c r="K11"/>
  <c r="J15"/>
  <c r="K15"/>
  <c r="J16"/>
  <c r="K16"/>
  <c r="J27"/>
  <c r="J39" s="1"/>
  <c r="K27"/>
  <c r="J30"/>
  <c r="K30"/>
  <c r="J33"/>
  <c r="J34"/>
  <c r="D44"/>
  <c r="D46" s="1"/>
  <c r="J44"/>
  <c r="K46"/>
  <c r="H39" l="1"/>
  <c r="H45" s="1"/>
  <c r="C11"/>
  <c r="F44"/>
  <c r="C46"/>
  <c r="J46"/>
  <c r="J40"/>
  <c r="J42" s="1"/>
  <c r="K39"/>
  <c r="K40" s="1"/>
  <c r="K42" s="1"/>
  <c r="F11"/>
  <c r="D39"/>
  <c r="D40" s="1"/>
  <c r="D42" s="1"/>
  <c r="P10"/>
  <c r="E39"/>
  <c r="E45" s="1"/>
  <c r="G39"/>
  <c r="G45" s="1"/>
  <c r="E11"/>
  <c r="E46"/>
  <c r="I39"/>
  <c r="I45" s="1"/>
  <c r="J45"/>
  <c r="K45" l="1"/>
  <c r="H40"/>
  <c r="H42" s="1"/>
  <c r="D45"/>
  <c r="C39"/>
  <c r="C45" s="1"/>
  <c r="F16"/>
  <c r="G40"/>
  <c r="G42" s="1"/>
  <c r="F39"/>
  <c r="F40" s="1"/>
  <c r="F42" s="1"/>
  <c r="E40"/>
  <c r="E42" s="1"/>
  <c r="I40"/>
  <c r="I42" s="1"/>
  <c r="C40" l="1"/>
  <c r="C42" s="1"/>
</calcChain>
</file>

<file path=xl/sharedStrings.xml><?xml version="1.0" encoding="utf-8"?>
<sst xmlns="http://schemas.openxmlformats.org/spreadsheetml/2006/main" count="69" uniqueCount="60">
  <si>
    <t>Actual</t>
  </si>
  <si>
    <t>Salaries</t>
  </si>
  <si>
    <t>Postage</t>
  </si>
  <si>
    <t>Miscellaneous</t>
  </si>
  <si>
    <t>Insurance</t>
  </si>
  <si>
    <t>Revenue</t>
  </si>
  <si>
    <t>Total Revenue</t>
  </si>
  <si>
    <t>Expenses</t>
  </si>
  <si>
    <t>Collection Expenses</t>
  </si>
  <si>
    <t>Equip/Furn Depreciation</t>
  </si>
  <si>
    <t>Telephone/800-lines</t>
  </si>
  <si>
    <t>Total Expenses</t>
  </si>
  <si>
    <t>Total Net Book Sales</t>
  </si>
  <si>
    <t>Interest Expense</t>
  </si>
  <si>
    <t>Bad Debt Expense</t>
  </si>
  <si>
    <t>Temp Employment</t>
  </si>
  <si>
    <t>Copy Machine</t>
  </si>
  <si>
    <t>Fees to Maple-Vail</t>
  </si>
  <si>
    <t>Budget</t>
  </si>
  <si>
    <t>FY07</t>
  </si>
  <si>
    <t>Unitech EDI Fees</t>
  </si>
  <si>
    <t>PubNet Fees</t>
  </si>
  <si>
    <t>Warehouse Postage</t>
  </si>
  <si>
    <t>Net Surplus/(Deficit)</t>
  </si>
  <si>
    <t>Operating Surplus/(Deficit)</t>
  </si>
  <si>
    <t>FY08</t>
  </si>
  <si>
    <t>Variance</t>
  </si>
  <si>
    <t>Shopping Cart Fees</t>
  </si>
  <si>
    <t>Staff Training/Development</t>
  </si>
  <si>
    <t>Travel - Client Recruiting</t>
  </si>
  <si>
    <t>POD Fulfillment Fees</t>
  </si>
  <si>
    <t>Office Supplies</t>
  </si>
  <si>
    <t>Space (bldg maint/util/deprec)</t>
  </si>
  <si>
    <t>Travel - General/BOG Mtgs</t>
  </si>
  <si>
    <t>Fulfill System Fees/Deprec</t>
  </si>
  <si>
    <t>Retire/SocSec/Health Ins</t>
  </si>
  <si>
    <t>Misc Income</t>
  </si>
  <si>
    <t>Draw from Op Reserve</t>
  </si>
  <si>
    <t>Expenses as % of Net Sales</t>
  </si>
  <si>
    <t>MV Fee as % of Net Sales</t>
  </si>
  <si>
    <t>Bank/Credit Card Fees</t>
  </si>
  <si>
    <t>FY09</t>
  </si>
  <si>
    <t>Audit &amp; Legal Fees</t>
  </si>
  <si>
    <t>FY10</t>
  </si>
  <si>
    <t>FY12</t>
  </si>
  <si>
    <t>FY11</t>
  </si>
  <si>
    <t>FY13vsFY12</t>
  </si>
  <si>
    <t>FY12 Actual</t>
  </si>
  <si>
    <t>thru 3/31</t>
  </si>
  <si>
    <t>FY12 Rev'd</t>
  </si>
  <si>
    <t>FY12 Original</t>
  </si>
  <si>
    <t>FY13 Draft</t>
  </si>
  <si>
    <t>FY12 YTD</t>
  </si>
  <si>
    <t>UNC Press ($5,600,000)</t>
  </si>
  <si>
    <t>Syracuse ($925,000)</t>
  </si>
  <si>
    <t>Nebraska ($5,300,000)</t>
  </si>
  <si>
    <t>Rutgers ($2,500,000)</t>
  </si>
  <si>
    <t>West Indies ($150,000)</t>
  </si>
  <si>
    <t>FY13 Proposed</t>
  </si>
  <si>
    <t>LSU ($1,680,000)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</si>
</sst>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0.00_);\(0.00\)"/>
    <numFmt numFmtId="165" formatCode="0_);\(0\)"/>
  </numFmts>
  <fonts count="8">
    <font>
      <sz val="12"/>
      <name val="Times New Roman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2" fontId="1" fillId="0" borderId="0"/>
    <xf numFmtId="0" fontId="3" fillId="0" borderId="0"/>
  </cellStyleXfs>
  <cellXfs count="90">
    <xf numFmtId="0" fontId="0" fillId="0" borderId="0" xfId="0"/>
    <xf numFmtId="2" fontId="3" fillId="0" borderId="0" xfId="1" applyFont="1" applyBorder="1"/>
    <xf numFmtId="164" fontId="2" fillId="0" borderId="0" xfId="1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left"/>
    </xf>
    <xf numFmtId="165" fontId="5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2" fillId="0" borderId="4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2" fontId="2" fillId="0" borderId="6" xfId="1" applyFont="1" applyFill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left"/>
    </xf>
    <xf numFmtId="165" fontId="5" fillId="0" borderId="3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37" fontId="3" fillId="0" borderId="11" xfId="1" applyNumberFormat="1" applyFont="1" applyFill="1" applyBorder="1"/>
    <xf numFmtId="37" fontId="3" fillId="0" borderId="12" xfId="1" applyNumberFormat="1" applyFont="1" applyFill="1" applyBorder="1"/>
    <xf numFmtId="2" fontId="3" fillId="0" borderId="11" xfId="1" applyFont="1" applyFill="1" applyBorder="1"/>
    <xf numFmtId="2" fontId="2" fillId="0" borderId="17" xfId="1" applyFont="1" applyFill="1" applyBorder="1" applyAlignment="1">
      <alignment horizontal="center"/>
    </xf>
    <xf numFmtId="37" fontId="3" fillId="0" borderId="17" xfId="1" applyNumberFormat="1" applyFont="1" applyFill="1" applyBorder="1"/>
    <xf numFmtId="0" fontId="0" fillId="0" borderId="18" xfId="0" applyBorder="1"/>
    <xf numFmtId="37" fontId="3" fillId="0" borderId="19" xfId="1" applyNumberFormat="1" applyFont="1" applyFill="1" applyBorder="1"/>
    <xf numFmtId="5" fontId="3" fillId="0" borderId="20" xfId="1" applyNumberFormat="1" applyFont="1" applyBorder="1"/>
    <xf numFmtId="5" fontId="3" fillId="0" borderId="21" xfId="1" applyNumberFormat="1" applyFont="1" applyBorder="1"/>
    <xf numFmtId="5" fontId="3" fillId="0" borderId="22" xfId="1" applyNumberFormat="1" applyFont="1" applyBorder="1"/>
    <xf numFmtId="5" fontId="3" fillId="0" borderId="23" xfId="1" applyNumberFormat="1" applyFont="1" applyBorder="1"/>
    <xf numFmtId="5" fontId="3" fillId="0" borderId="24" xfId="1" applyNumberFormat="1" applyFont="1" applyBorder="1"/>
    <xf numFmtId="5" fontId="3" fillId="0" borderId="25" xfId="1" applyNumberFormat="1" applyFont="1" applyBorder="1"/>
    <xf numFmtId="2" fontId="3" fillId="0" borderId="17" xfId="1" applyFont="1" applyFill="1" applyBorder="1"/>
    <xf numFmtId="0" fontId="0" fillId="0" borderId="26" xfId="0" applyBorder="1"/>
    <xf numFmtId="10" fontId="3" fillId="0" borderId="27" xfId="1" applyNumberFormat="1" applyFont="1" applyBorder="1"/>
    <xf numFmtId="165" fontId="5" fillId="0" borderId="4" xfId="1" applyNumberFormat="1" applyFont="1" applyBorder="1" applyAlignment="1">
      <alignment horizontal="center"/>
    </xf>
    <xf numFmtId="37" fontId="0" fillId="0" borderId="28" xfId="0" applyNumberFormat="1" applyBorder="1"/>
    <xf numFmtId="165" fontId="5" fillId="0" borderId="0" xfId="1" applyNumberFormat="1" applyFont="1" applyBorder="1" applyAlignment="1">
      <alignment horizontal="center"/>
    </xf>
    <xf numFmtId="5" fontId="3" fillId="0" borderId="13" xfId="1" applyNumberFormat="1" applyFont="1" applyFill="1" applyBorder="1"/>
    <xf numFmtId="5" fontId="3" fillId="0" borderId="14" xfId="1" applyNumberFormat="1" applyFont="1" applyFill="1" applyBorder="1"/>
    <xf numFmtId="5" fontId="3" fillId="0" borderId="15" xfId="1" applyNumberFormat="1" applyFont="1" applyFill="1" applyBorder="1"/>
    <xf numFmtId="10" fontId="3" fillId="0" borderId="16" xfId="1" applyNumberFormat="1" applyFont="1" applyFill="1" applyBorder="1"/>
    <xf numFmtId="2" fontId="2" fillId="0" borderId="30" xfId="1" applyFont="1" applyFill="1" applyBorder="1" applyAlignment="1">
      <alignment horizontal="center"/>
    </xf>
    <xf numFmtId="37" fontId="3" fillId="0" borderId="30" xfId="1" applyNumberFormat="1" applyFont="1" applyFill="1" applyBorder="1"/>
    <xf numFmtId="37" fontId="3" fillId="0" borderId="31" xfId="1" applyNumberFormat="1" applyFont="1" applyFill="1" applyBorder="1"/>
    <xf numFmtId="5" fontId="3" fillId="0" borderId="32" xfId="1" applyNumberFormat="1" applyFont="1" applyFill="1" applyBorder="1"/>
    <xf numFmtId="5" fontId="3" fillId="0" borderId="33" xfId="1" applyNumberFormat="1" applyFont="1" applyFill="1" applyBorder="1"/>
    <xf numFmtId="5" fontId="3" fillId="0" borderId="34" xfId="1" applyNumberFormat="1" applyFont="1" applyFill="1" applyBorder="1"/>
    <xf numFmtId="2" fontId="3" fillId="0" borderId="30" xfId="1" applyFont="1" applyFill="1" applyBorder="1"/>
    <xf numFmtId="10" fontId="3" fillId="0" borderId="29" xfId="1" applyNumberFormat="1" applyFont="1" applyFill="1" applyBorder="1"/>
    <xf numFmtId="5" fontId="3" fillId="0" borderId="32" xfId="1" applyNumberFormat="1" applyFont="1" applyBorder="1"/>
    <xf numFmtId="2" fontId="2" fillId="0" borderId="6" xfId="1" applyFont="1" applyFill="1" applyBorder="1" applyAlignment="1">
      <alignment horizontal="center"/>
    </xf>
    <xf numFmtId="2" fontId="2" fillId="0" borderId="17" xfId="1" applyFont="1" applyFill="1" applyBorder="1" applyAlignment="1">
      <alignment horizontal="center"/>
    </xf>
    <xf numFmtId="2" fontId="2" fillId="0" borderId="26" xfId="1" applyFont="1" applyFill="1" applyBorder="1" applyAlignment="1">
      <alignment horizontal="center"/>
    </xf>
    <xf numFmtId="37" fontId="3" fillId="0" borderId="0" xfId="1" applyNumberFormat="1" applyFont="1" applyFill="1" applyBorder="1"/>
    <xf numFmtId="2" fontId="2" fillId="0" borderId="0" xfId="1" applyFont="1" applyFill="1" applyBorder="1" applyAlignment="1">
      <alignment horizontal="center"/>
    </xf>
    <xf numFmtId="5" fontId="3" fillId="0" borderId="0" xfId="1" applyNumberFormat="1" applyFont="1" applyBorder="1"/>
    <xf numFmtId="2" fontId="3" fillId="0" borderId="0" xfId="1" applyFont="1" applyFill="1" applyBorder="1"/>
    <xf numFmtId="10" fontId="3" fillId="0" borderId="0" xfId="1" applyNumberFormat="1" applyFont="1" applyBorder="1"/>
    <xf numFmtId="5" fontId="3" fillId="0" borderId="33" xfId="1" applyNumberFormat="1" applyFont="1" applyBorder="1"/>
    <xf numFmtId="5" fontId="3" fillId="0" borderId="34" xfId="1" applyNumberFormat="1" applyFont="1" applyBorder="1"/>
    <xf numFmtId="10" fontId="3" fillId="0" borderId="29" xfId="1" applyNumberFormat="1" applyFont="1" applyBorder="1"/>
    <xf numFmtId="0" fontId="0" fillId="0" borderId="6" xfId="0" applyBorder="1"/>
    <xf numFmtId="0" fontId="0" fillId="0" borderId="17" xfId="0" applyBorder="1"/>
    <xf numFmtId="10" fontId="0" fillId="0" borderId="36" xfId="0" applyNumberFormat="1" applyBorder="1"/>
    <xf numFmtId="10" fontId="0" fillId="0" borderId="37" xfId="0" applyNumberFormat="1" applyBorder="1"/>
    <xf numFmtId="37" fontId="0" fillId="0" borderId="8" xfId="0" applyNumberFormat="1" applyBorder="1"/>
    <xf numFmtId="10" fontId="0" fillId="0" borderId="35" xfId="0" applyNumberFormat="1" applyBorder="1"/>
    <xf numFmtId="37" fontId="3" fillId="0" borderId="19" xfId="1" applyNumberFormat="1" applyFont="1" applyFill="1" applyBorder="1"/>
    <xf numFmtId="2" fontId="2" fillId="0" borderId="6" xfId="1" applyFont="1" applyFill="1" applyBorder="1" applyAlignment="1">
      <alignment horizontal="center"/>
    </xf>
    <xf numFmtId="37" fontId="0" fillId="0" borderId="15" xfId="0" applyNumberFormat="1" applyBorder="1"/>
    <xf numFmtId="37" fontId="3" fillId="0" borderId="40" xfId="1" applyNumberFormat="1" applyFont="1" applyFill="1" applyBorder="1"/>
    <xf numFmtId="37" fontId="3" fillId="0" borderId="41" xfId="1" applyNumberFormat="1" applyFont="1" applyFill="1" applyBorder="1"/>
    <xf numFmtId="37" fontId="3" fillId="0" borderId="19" xfId="1" applyNumberFormat="1" applyFont="1" applyFill="1" applyBorder="1"/>
    <xf numFmtId="37" fontId="3" fillId="0" borderId="19" xfId="1" applyNumberFormat="1" applyFont="1" applyFill="1" applyBorder="1"/>
    <xf numFmtId="37" fontId="3" fillId="0" borderId="12" xfId="1" applyNumberFormat="1" applyFont="1" applyFill="1" applyBorder="1"/>
    <xf numFmtId="2" fontId="2" fillId="0" borderId="6" xfId="1" applyFont="1" applyFill="1" applyBorder="1" applyAlignment="1">
      <alignment horizontal="center"/>
    </xf>
    <xf numFmtId="37" fontId="3" fillId="0" borderId="7" xfId="1" applyNumberFormat="1" applyFont="1" applyFill="1" applyBorder="1"/>
    <xf numFmtId="2" fontId="2" fillId="0" borderId="0" xfId="1" applyFont="1" applyFill="1" applyBorder="1" applyAlignment="1">
      <alignment horizontal="center"/>
    </xf>
    <xf numFmtId="37" fontId="3" fillId="0" borderId="38" xfId="1" applyNumberFormat="1" applyFont="1" applyFill="1" applyBorder="1"/>
    <xf numFmtId="37" fontId="3" fillId="0" borderId="6" xfId="1" applyNumberFormat="1" applyFont="1" applyFill="1" applyBorder="1"/>
    <xf numFmtId="37" fontId="3" fillId="0" borderId="7" xfId="1" applyNumberFormat="1" applyFont="1" applyFill="1" applyBorder="1"/>
    <xf numFmtId="37" fontId="3" fillId="0" borderId="11" xfId="1" applyNumberFormat="1" applyFont="1" applyFill="1" applyBorder="1"/>
    <xf numFmtId="37" fontId="3" fillId="0" borderId="12" xfId="1" applyNumberFormat="1" applyFont="1" applyFill="1" applyBorder="1"/>
    <xf numFmtId="2" fontId="2" fillId="0" borderId="17" xfId="1" applyFont="1" applyFill="1" applyBorder="1" applyAlignment="1">
      <alignment horizontal="center"/>
    </xf>
    <xf numFmtId="37" fontId="0" fillId="0" borderId="34" xfId="0" applyNumberFormat="1" applyBorder="1"/>
    <xf numFmtId="37" fontId="3" fillId="0" borderId="6" xfId="1" applyNumberFormat="1" applyFont="1" applyFill="1" applyBorder="1"/>
    <xf numFmtId="37" fontId="3" fillId="0" borderId="7" xfId="1" applyNumberFormat="1" applyFont="1" applyFill="1" applyBorder="1"/>
    <xf numFmtId="37" fontId="3" fillId="0" borderId="19" xfId="1" applyNumberFormat="1" applyFont="1" applyFill="1" applyBorder="1"/>
    <xf numFmtId="164" fontId="2" fillId="0" borderId="1" xfId="1" applyNumberFormat="1" applyFont="1" applyBorder="1" applyAlignment="1">
      <alignment horizontal="left"/>
    </xf>
    <xf numFmtId="37" fontId="3" fillId="0" borderId="39" xfId="1" applyNumberFormat="1" applyFont="1" applyFill="1" applyBorder="1"/>
    <xf numFmtId="37" fontId="0" fillId="0" borderId="21" xfId="0" applyNumberFormat="1" applyBorder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/>
  </sheetViews>
  <sheetFormatPr defaultRowHeight="15.75"/>
  <cols>
    <col min="1" max="1" width="4.25" bestFit="1" customWidth="1"/>
    <col min="2" max="2" width="25.625" customWidth="1"/>
    <col min="3" max="3" width="13.625" bestFit="1" customWidth="1"/>
    <col min="4" max="4" width="11.5" bestFit="1" customWidth="1"/>
    <col min="5" max="5" width="11.5" customWidth="1"/>
    <col min="6" max="8" width="11.5" bestFit="1" customWidth="1"/>
    <col min="9" max="11" width="10.5" hidden="1" customWidth="1"/>
    <col min="12" max="12" width="10.5" customWidth="1"/>
    <col min="13" max="14" width="10.875" customWidth="1"/>
    <col min="15" max="15" width="10.875" bestFit="1" customWidth="1"/>
  </cols>
  <sheetData>
    <row r="1" spans="1:16">
      <c r="A1" s="1"/>
      <c r="B1" s="2"/>
      <c r="C1" s="40" t="s">
        <v>58</v>
      </c>
      <c r="D1" s="50" t="s">
        <v>47</v>
      </c>
      <c r="E1" s="67" t="s">
        <v>44</v>
      </c>
      <c r="F1" s="51" t="s">
        <v>26</v>
      </c>
      <c r="G1" s="50" t="s">
        <v>45</v>
      </c>
      <c r="H1" s="50" t="s">
        <v>43</v>
      </c>
      <c r="I1" s="20" t="s">
        <v>41</v>
      </c>
      <c r="J1" s="40" t="s">
        <v>25</v>
      </c>
      <c r="K1" s="40" t="s">
        <v>19</v>
      </c>
      <c r="L1" s="76" t="s">
        <v>51</v>
      </c>
      <c r="M1" s="50" t="s">
        <v>49</v>
      </c>
      <c r="N1" s="74" t="s">
        <v>50</v>
      </c>
      <c r="O1" s="82" t="s">
        <v>52</v>
      </c>
      <c r="P1" s="22"/>
    </row>
    <row r="2" spans="1:16">
      <c r="A2" s="1"/>
      <c r="B2" s="2"/>
      <c r="C2" s="40" t="s">
        <v>18</v>
      </c>
      <c r="D2" s="50" t="s">
        <v>48</v>
      </c>
      <c r="E2" s="11" t="s">
        <v>18</v>
      </c>
      <c r="F2" s="51" t="s">
        <v>46</v>
      </c>
      <c r="G2" s="20" t="s">
        <v>0</v>
      </c>
      <c r="H2" s="50" t="s">
        <v>0</v>
      </c>
      <c r="I2" s="20" t="s">
        <v>0</v>
      </c>
      <c r="J2" s="40" t="s">
        <v>0</v>
      </c>
      <c r="K2" s="40" t="s">
        <v>0</v>
      </c>
      <c r="L2" s="53" t="s">
        <v>18</v>
      </c>
      <c r="M2" s="50" t="s">
        <v>18</v>
      </c>
      <c r="N2" s="49" t="s">
        <v>18</v>
      </c>
      <c r="O2" s="67" t="s">
        <v>0</v>
      </c>
      <c r="P2" s="22"/>
    </row>
    <row r="3" spans="1:16">
      <c r="A3" s="1"/>
      <c r="B3" s="3" t="s">
        <v>5</v>
      </c>
      <c r="C3" s="41"/>
      <c r="D3" s="21"/>
      <c r="E3" s="17"/>
      <c r="F3" s="22"/>
      <c r="G3" s="21"/>
      <c r="H3" s="21"/>
      <c r="I3" s="21"/>
      <c r="J3" s="41"/>
      <c r="K3" s="41"/>
      <c r="M3" s="61"/>
      <c r="N3" s="60"/>
      <c r="O3" s="60"/>
      <c r="P3" s="22"/>
    </row>
    <row r="4" spans="1:16">
      <c r="A4" s="4">
        <v>1</v>
      </c>
      <c r="B4" s="87" t="s">
        <v>53</v>
      </c>
      <c r="C4" s="42">
        <f>ROUND(5600000*0.1,0)</f>
        <v>560000</v>
      </c>
      <c r="D4" s="86">
        <v>456087</v>
      </c>
      <c r="E4" s="73">
        <v>530000</v>
      </c>
      <c r="F4" s="34">
        <f>C4-E4</f>
        <v>30000</v>
      </c>
      <c r="G4" s="71">
        <v>560925</v>
      </c>
      <c r="H4" s="66">
        <v>489924</v>
      </c>
      <c r="I4" s="23">
        <v>461813</v>
      </c>
      <c r="J4" s="42">
        <v>472772</v>
      </c>
      <c r="K4" s="42">
        <v>525215</v>
      </c>
      <c r="L4" s="69">
        <v>5600000</v>
      </c>
      <c r="M4" s="81">
        <v>5300000</v>
      </c>
      <c r="N4" s="79">
        <v>5300000</v>
      </c>
      <c r="O4" s="85">
        <v>4544380</v>
      </c>
      <c r="P4" s="62">
        <f t="shared" ref="P4:P10" si="0">O4/M4</f>
        <v>0.85743018867924525</v>
      </c>
    </row>
    <row r="5" spans="1:16">
      <c r="A5" s="6">
        <v>2</v>
      </c>
      <c r="B5" s="87" t="s">
        <v>56</v>
      </c>
      <c r="C5" s="42">
        <f>ROUND(2500000*0.115,0)</f>
        <v>287500</v>
      </c>
      <c r="D5" s="86">
        <v>241773</v>
      </c>
      <c r="E5" s="73">
        <v>276000</v>
      </c>
      <c r="F5" s="34">
        <f t="shared" ref="F5:F10" si="1">C5-E5</f>
        <v>11500</v>
      </c>
      <c r="G5" s="71">
        <v>282017</v>
      </c>
      <c r="H5" s="66">
        <v>292896</v>
      </c>
      <c r="I5" s="23">
        <v>264545</v>
      </c>
      <c r="J5" s="42">
        <v>313974</v>
      </c>
      <c r="K5" s="42">
        <v>275884</v>
      </c>
      <c r="L5" s="69">
        <v>2500000</v>
      </c>
      <c r="M5" s="81">
        <v>2400000</v>
      </c>
      <c r="N5" s="79">
        <v>2400000</v>
      </c>
      <c r="O5" s="85">
        <v>2102874</v>
      </c>
      <c r="P5" s="62">
        <f t="shared" si="0"/>
        <v>0.87619749999999996</v>
      </c>
    </row>
    <row r="6" spans="1:16">
      <c r="A6" s="4">
        <v>3</v>
      </c>
      <c r="B6" s="87" t="s">
        <v>57</v>
      </c>
      <c r="C6" s="42">
        <f>ROUND(150000*0.175,0)</f>
        <v>26250</v>
      </c>
      <c r="D6" s="86">
        <v>17093</v>
      </c>
      <c r="E6" s="73">
        <v>24500</v>
      </c>
      <c r="F6" s="34">
        <f t="shared" si="1"/>
        <v>1750</v>
      </c>
      <c r="G6" s="71">
        <v>43439</v>
      </c>
      <c r="H6" s="66">
        <v>37147</v>
      </c>
      <c r="I6" s="23">
        <v>40569</v>
      </c>
      <c r="J6" s="42">
        <v>31331</v>
      </c>
      <c r="K6" s="42">
        <v>0</v>
      </c>
      <c r="L6" s="69">
        <v>150000</v>
      </c>
      <c r="M6" s="81">
        <v>140000</v>
      </c>
      <c r="N6" s="79">
        <v>270000</v>
      </c>
      <c r="O6" s="85">
        <v>97673</v>
      </c>
      <c r="P6" s="62">
        <f t="shared" si="0"/>
        <v>0.69766428571428574</v>
      </c>
    </row>
    <row r="7" spans="1:16">
      <c r="A7" s="4">
        <v>4</v>
      </c>
      <c r="B7" s="87" t="s">
        <v>59</v>
      </c>
      <c r="C7" s="42">
        <f>ROUND(1680000*0.12,0)</f>
        <v>201600</v>
      </c>
      <c r="D7" s="86">
        <v>160097</v>
      </c>
      <c r="E7" s="73">
        <v>192000</v>
      </c>
      <c r="F7" s="34">
        <f t="shared" si="1"/>
        <v>9600</v>
      </c>
      <c r="G7" s="71">
        <v>186940</v>
      </c>
      <c r="H7" s="66">
        <v>199071</v>
      </c>
      <c r="I7" s="23">
        <v>190660</v>
      </c>
      <c r="J7" s="42">
        <v>90952</v>
      </c>
      <c r="K7" s="42">
        <v>0</v>
      </c>
      <c r="L7" s="69">
        <v>1680000</v>
      </c>
      <c r="M7" s="81">
        <v>1600000</v>
      </c>
      <c r="N7" s="79">
        <v>1600000</v>
      </c>
      <c r="O7" s="85">
        <v>1334141</v>
      </c>
      <c r="P7" s="62">
        <f t="shared" si="0"/>
        <v>0.83383812499999999</v>
      </c>
    </row>
    <row r="8" spans="1:16">
      <c r="A8" s="4">
        <v>5</v>
      </c>
      <c r="B8" s="87" t="s">
        <v>54</v>
      </c>
      <c r="C8" s="42">
        <f>ROUND(925000*0.12,0)</f>
        <v>111000</v>
      </c>
      <c r="D8" s="86">
        <v>83332</v>
      </c>
      <c r="E8" s="73">
        <v>115000</v>
      </c>
      <c r="F8" s="34">
        <f t="shared" si="1"/>
        <v>-4000</v>
      </c>
      <c r="G8" s="71">
        <v>154524</v>
      </c>
      <c r="H8" s="66">
        <v>134324</v>
      </c>
      <c r="I8" s="23"/>
      <c r="J8" s="42"/>
      <c r="K8" s="42"/>
      <c r="L8" s="69">
        <v>925000</v>
      </c>
      <c r="M8" s="81">
        <v>1000000</v>
      </c>
      <c r="N8" s="79">
        <v>1000000</v>
      </c>
      <c r="O8" s="85">
        <v>724625</v>
      </c>
      <c r="P8" s="62">
        <f t="shared" si="0"/>
        <v>0.72462499999999996</v>
      </c>
    </row>
    <row r="9" spans="1:16">
      <c r="A9" s="4">
        <v>6</v>
      </c>
      <c r="B9" s="87" t="s">
        <v>55</v>
      </c>
      <c r="C9" s="42">
        <f>ROUND(5300000*0.09,0)</f>
        <v>477000</v>
      </c>
      <c r="D9" s="86">
        <v>330132</v>
      </c>
      <c r="E9" s="73">
        <v>446500</v>
      </c>
      <c r="F9" s="34">
        <f t="shared" si="1"/>
        <v>30500</v>
      </c>
      <c r="G9" s="71">
        <v>465158</v>
      </c>
      <c r="H9" s="66">
        <v>259768</v>
      </c>
      <c r="I9" s="23"/>
      <c r="J9" s="42"/>
      <c r="K9" s="42"/>
      <c r="L9" s="70">
        <v>5300000</v>
      </c>
      <c r="M9" s="80">
        <v>4700000</v>
      </c>
      <c r="N9" s="78">
        <v>4100000</v>
      </c>
      <c r="O9" s="84">
        <v>3475079</v>
      </c>
      <c r="P9" s="63">
        <f t="shared" si="0"/>
        <v>0.73937851063829785</v>
      </c>
    </row>
    <row r="10" spans="1:16" ht="16.5" thickBot="1">
      <c r="A10" s="35">
        <v>7</v>
      </c>
      <c r="B10" s="5" t="s">
        <v>36</v>
      </c>
      <c r="C10" s="42">
        <v>0</v>
      </c>
      <c r="D10" s="23">
        <v>0</v>
      </c>
      <c r="E10" s="18">
        <v>0</v>
      </c>
      <c r="F10" s="34">
        <f t="shared" si="1"/>
        <v>0</v>
      </c>
      <c r="G10" s="71">
        <v>100</v>
      </c>
      <c r="H10" s="66">
        <v>80</v>
      </c>
      <c r="I10" s="23">
        <f>1085+154</f>
        <v>1239</v>
      </c>
      <c r="J10" s="42">
        <f>3410-84+24</f>
        <v>3350</v>
      </c>
      <c r="K10" s="42">
        <v>4477</v>
      </c>
      <c r="L10" s="83">
        <f>SUM(L4:L9)</f>
        <v>16155000</v>
      </c>
      <c r="M10" s="68">
        <f>SUM(M4:M9)</f>
        <v>15140000</v>
      </c>
      <c r="N10" s="64">
        <f>SUM(N4:N9)</f>
        <v>14670000</v>
      </c>
      <c r="O10" s="64">
        <f>SUM(O4:O9)</f>
        <v>12278772</v>
      </c>
      <c r="P10" s="65">
        <f t="shared" si="0"/>
        <v>0.81101532364597095</v>
      </c>
    </row>
    <row r="11" spans="1:16" ht="16.5" thickTop="1">
      <c r="A11" s="14">
        <v>8</v>
      </c>
      <c r="B11" s="7" t="s">
        <v>6</v>
      </c>
      <c r="C11" s="43">
        <f>SUM(C4:C10)</f>
        <v>1663350</v>
      </c>
      <c r="D11" s="24">
        <f t="shared" ref="D11:K11" si="2">SUM(D4:D10)</f>
        <v>1288514</v>
      </c>
      <c r="E11" s="36">
        <f>SUM(E4:E10)</f>
        <v>1584000</v>
      </c>
      <c r="F11" s="25">
        <f t="shared" si="2"/>
        <v>79350</v>
      </c>
      <c r="G11" s="24">
        <f t="shared" ref="G11:H11" si="3">SUM(G4:G10)</f>
        <v>1693103</v>
      </c>
      <c r="H11" s="24">
        <f t="shared" si="3"/>
        <v>1413210</v>
      </c>
      <c r="I11" s="24">
        <f t="shared" ref="I11" si="4">SUM(I4:I10)</f>
        <v>958826</v>
      </c>
      <c r="J11" s="48">
        <f t="shared" si="2"/>
        <v>912379</v>
      </c>
      <c r="K11" s="48">
        <f t="shared" si="2"/>
        <v>805576</v>
      </c>
      <c r="L11" s="54"/>
    </row>
    <row r="12" spans="1:16">
      <c r="A12" s="6">
        <v>9</v>
      </c>
      <c r="B12" s="3" t="s">
        <v>7</v>
      </c>
      <c r="C12" s="41"/>
      <c r="D12" s="21"/>
      <c r="E12" s="17"/>
      <c r="F12" s="22"/>
      <c r="G12" s="21"/>
      <c r="H12" s="21"/>
      <c r="I12" s="21"/>
      <c r="J12" s="41"/>
      <c r="K12" s="41"/>
      <c r="L12" s="52"/>
    </row>
    <row r="13" spans="1:16">
      <c r="A13" s="6">
        <v>10</v>
      </c>
      <c r="B13" s="5" t="s">
        <v>1</v>
      </c>
      <c r="C13" s="42">
        <v>436910</v>
      </c>
      <c r="D13" s="88">
        <v>311855</v>
      </c>
      <c r="E13" s="75">
        <v>416000</v>
      </c>
      <c r="F13" s="34">
        <f t="shared" ref="F13:F38" si="5">C13-E13</f>
        <v>20910</v>
      </c>
      <c r="G13" s="72">
        <v>408152</v>
      </c>
      <c r="H13" s="66">
        <v>376231</v>
      </c>
      <c r="I13" s="23">
        <v>399155</v>
      </c>
      <c r="J13" s="42">
        <v>375476</v>
      </c>
      <c r="K13" s="42">
        <v>326226</v>
      </c>
      <c r="L13" s="52"/>
    </row>
    <row r="14" spans="1:16">
      <c r="A14" s="4">
        <v>11</v>
      </c>
      <c r="B14" s="5" t="s">
        <v>15</v>
      </c>
      <c r="C14" s="42">
        <v>4000</v>
      </c>
      <c r="D14" s="88">
        <v>9517</v>
      </c>
      <c r="E14" s="75">
        <v>13875</v>
      </c>
      <c r="F14" s="34">
        <f t="shared" si="5"/>
        <v>-9875</v>
      </c>
      <c r="G14" s="72">
        <v>2152</v>
      </c>
      <c r="H14" s="66">
        <v>14014</v>
      </c>
      <c r="I14" s="23">
        <v>0</v>
      </c>
      <c r="J14" s="42">
        <v>8703</v>
      </c>
      <c r="K14" s="42">
        <v>3598</v>
      </c>
      <c r="L14" s="52"/>
    </row>
    <row r="15" spans="1:16">
      <c r="A15" s="6">
        <v>12</v>
      </c>
      <c r="B15" s="5" t="s">
        <v>35</v>
      </c>
      <c r="C15" s="42">
        <f>46725+62525+33425</f>
        <v>142675</v>
      </c>
      <c r="D15" s="88">
        <v>97150</v>
      </c>
      <c r="E15" s="75">
        <v>128380</v>
      </c>
      <c r="F15" s="34">
        <f t="shared" si="5"/>
        <v>14295</v>
      </c>
      <c r="G15" s="72">
        <v>113740</v>
      </c>
      <c r="H15" s="66">
        <f>31918+28046+33245</f>
        <v>93209</v>
      </c>
      <c r="I15" s="23">
        <f>30727+28376+29730</f>
        <v>88833</v>
      </c>
      <c r="J15" s="42">
        <f>28234+26812+28634</f>
        <v>83680</v>
      </c>
      <c r="K15" s="42">
        <f>22156+22865+23251</f>
        <v>68272</v>
      </c>
      <c r="L15" s="52"/>
    </row>
    <row r="16" spans="1:16">
      <c r="A16" s="4">
        <v>13</v>
      </c>
      <c r="B16" s="5" t="s">
        <v>17</v>
      </c>
      <c r="C16" s="42">
        <f>C44*0.0525</f>
        <v>848137.5</v>
      </c>
      <c r="D16" s="88">
        <v>653319</v>
      </c>
      <c r="E16" s="75">
        <v>825130</v>
      </c>
      <c r="F16" s="34">
        <f t="shared" si="5"/>
        <v>23007.5</v>
      </c>
      <c r="G16" s="72">
        <v>915261</v>
      </c>
      <c r="H16" s="66">
        <f>365543+64519+64749+326334-123</f>
        <v>821022</v>
      </c>
      <c r="I16" s="23">
        <f>256551+44232+40053+188453+229</f>
        <v>529518</v>
      </c>
      <c r="J16" s="42">
        <f>266819+40643+40870+185275</f>
        <v>533607</v>
      </c>
      <c r="K16" s="42">
        <f>233782+40008+34589+156730</f>
        <v>465109</v>
      </c>
      <c r="L16" s="52"/>
    </row>
    <row r="17" spans="1:12">
      <c r="A17" s="6">
        <v>14</v>
      </c>
      <c r="B17" s="5" t="s">
        <v>30</v>
      </c>
      <c r="C17" s="42">
        <v>15000</v>
      </c>
      <c r="D17" s="88">
        <v>11114</v>
      </c>
      <c r="E17" s="75">
        <v>13000</v>
      </c>
      <c r="F17" s="34">
        <f t="shared" si="5"/>
        <v>2000</v>
      </c>
      <c r="G17" s="72">
        <v>13337</v>
      </c>
      <c r="H17" s="66">
        <v>10533</v>
      </c>
      <c r="I17" s="23">
        <v>6350</v>
      </c>
      <c r="J17" s="42">
        <v>2642</v>
      </c>
      <c r="K17" s="42">
        <v>0</v>
      </c>
      <c r="L17" s="52"/>
    </row>
    <row r="18" spans="1:12">
      <c r="A18" s="4">
        <v>15</v>
      </c>
      <c r="B18" s="5" t="s">
        <v>34</v>
      </c>
      <c r="C18" s="42">
        <v>65000</v>
      </c>
      <c r="D18" s="88">
        <v>47381</v>
      </c>
      <c r="E18" s="75">
        <v>65000</v>
      </c>
      <c r="F18" s="34">
        <f t="shared" si="5"/>
        <v>0</v>
      </c>
      <c r="G18" s="72">
        <v>76042</v>
      </c>
      <c r="H18" s="66">
        <v>91213</v>
      </c>
      <c r="I18" s="23">
        <v>77861</v>
      </c>
      <c r="J18" s="42">
        <v>75099</v>
      </c>
      <c r="K18" s="42">
        <v>53386</v>
      </c>
      <c r="L18" s="52"/>
    </row>
    <row r="19" spans="1:12">
      <c r="A19" s="6">
        <v>16</v>
      </c>
      <c r="B19" s="5" t="s">
        <v>20</v>
      </c>
      <c r="C19" s="42">
        <v>13500</v>
      </c>
      <c r="D19" s="88">
        <v>8743</v>
      </c>
      <c r="E19" s="75">
        <v>13000</v>
      </c>
      <c r="F19" s="34">
        <f t="shared" si="5"/>
        <v>500</v>
      </c>
      <c r="G19" s="72">
        <v>12807</v>
      </c>
      <c r="H19" s="66">
        <v>12062</v>
      </c>
      <c r="I19" s="23">
        <v>14668</v>
      </c>
      <c r="J19" s="42">
        <v>15046</v>
      </c>
      <c r="K19" s="42">
        <v>8710</v>
      </c>
      <c r="L19" s="52"/>
    </row>
    <row r="20" spans="1:12">
      <c r="A20" s="4">
        <v>17</v>
      </c>
      <c r="B20" s="5" t="s">
        <v>21</v>
      </c>
      <c r="C20" s="42">
        <v>11500</v>
      </c>
      <c r="D20" s="88">
        <v>8192</v>
      </c>
      <c r="E20" s="75">
        <v>11000</v>
      </c>
      <c r="F20" s="34">
        <f t="shared" si="5"/>
        <v>500</v>
      </c>
      <c r="G20" s="72">
        <v>9782</v>
      </c>
      <c r="H20" s="66">
        <v>7549</v>
      </c>
      <c r="I20" s="23">
        <v>5953</v>
      </c>
      <c r="J20" s="42">
        <v>5317</v>
      </c>
      <c r="K20" s="42">
        <v>4942</v>
      </c>
      <c r="L20" s="52"/>
    </row>
    <row r="21" spans="1:12">
      <c r="A21" s="6">
        <v>18</v>
      </c>
      <c r="B21" s="5" t="s">
        <v>22</v>
      </c>
      <c r="C21" s="42">
        <v>-18000</v>
      </c>
      <c r="D21" s="88">
        <v>-20112</v>
      </c>
      <c r="E21" s="75">
        <v>-18000</v>
      </c>
      <c r="F21" s="34">
        <f t="shared" si="5"/>
        <v>0</v>
      </c>
      <c r="G21" s="72">
        <v>-16333</v>
      </c>
      <c r="H21" s="66">
        <v>-6564</v>
      </c>
      <c r="I21" s="23">
        <v>1973</v>
      </c>
      <c r="J21" s="42">
        <v>7492</v>
      </c>
      <c r="K21" s="42">
        <v>18282</v>
      </c>
      <c r="L21" s="52"/>
    </row>
    <row r="22" spans="1:12">
      <c r="A22" s="4">
        <v>19</v>
      </c>
      <c r="B22" s="5" t="s">
        <v>27</v>
      </c>
      <c r="C22" s="42">
        <v>7210</v>
      </c>
      <c r="D22" s="88">
        <v>5150</v>
      </c>
      <c r="E22" s="75">
        <v>7000</v>
      </c>
      <c r="F22" s="34">
        <f t="shared" si="5"/>
        <v>210</v>
      </c>
      <c r="G22" s="72">
        <v>6349</v>
      </c>
      <c r="H22" s="66">
        <v>8430</v>
      </c>
      <c r="I22" s="23">
        <v>4166</v>
      </c>
      <c r="J22" s="42">
        <v>7202</v>
      </c>
      <c r="K22" s="42">
        <v>0</v>
      </c>
      <c r="L22" s="52"/>
    </row>
    <row r="23" spans="1:12">
      <c r="A23" s="6">
        <v>20</v>
      </c>
      <c r="B23" s="8" t="s">
        <v>40</v>
      </c>
      <c r="C23" s="42">
        <v>60000</v>
      </c>
      <c r="D23" s="88">
        <v>43454</v>
      </c>
      <c r="E23" s="75">
        <v>55000</v>
      </c>
      <c r="F23" s="34">
        <f t="shared" si="5"/>
        <v>5000</v>
      </c>
      <c r="G23" s="72">
        <v>81818</v>
      </c>
      <c r="H23" s="66">
        <f>72269+3508</f>
        <v>75777</v>
      </c>
      <c r="I23" s="23">
        <f>49470+1205</f>
        <v>50675</v>
      </c>
      <c r="J23" s="42">
        <v>32432</v>
      </c>
      <c r="K23" s="42">
        <v>26465</v>
      </c>
      <c r="L23" s="52"/>
    </row>
    <row r="24" spans="1:12">
      <c r="A24" s="4">
        <v>21</v>
      </c>
      <c r="B24" s="5" t="s">
        <v>8</v>
      </c>
      <c r="C24" s="42">
        <v>2500</v>
      </c>
      <c r="D24" s="88">
        <v>1801</v>
      </c>
      <c r="E24" s="75">
        <v>2500</v>
      </c>
      <c r="F24" s="34">
        <f t="shared" si="5"/>
        <v>0</v>
      </c>
      <c r="G24" s="72">
        <v>1985</v>
      </c>
      <c r="H24" s="66">
        <v>1890</v>
      </c>
      <c r="I24" s="23">
        <v>4194</v>
      </c>
      <c r="J24" s="42">
        <v>2236</v>
      </c>
      <c r="K24" s="42">
        <v>0</v>
      </c>
      <c r="L24" s="52"/>
    </row>
    <row r="25" spans="1:12">
      <c r="A25" s="6">
        <v>22</v>
      </c>
      <c r="B25" s="5" t="s">
        <v>31</v>
      </c>
      <c r="C25" s="42">
        <v>2250</v>
      </c>
      <c r="D25" s="88">
        <v>1041</v>
      </c>
      <c r="E25" s="75">
        <v>2250</v>
      </c>
      <c r="F25" s="34">
        <f t="shared" si="5"/>
        <v>0</v>
      </c>
      <c r="G25" s="72">
        <v>2763</v>
      </c>
      <c r="H25" s="66">
        <v>1280</v>
      </c>
      <c r="I25" s="23">
        <v>1197</v>
      </c>
      <c r="J25" s="42">
        <v>2148</v>
      </c>
      <c r="K25" s="42">
        <v>3781</v>
      </c>
      <c r="L25" s="52"/>
    </row>
    <row r="26" spans="1:12">
      <c r="A26" s="4">
        <v>23</v>
      </c>
      <c r="B26" s="5" t="s">
        <v>16</v>
      </c>
      <c r="C26" s="42">
        <v>1750</v>
      </c>
      <c r="D26" s="88">
        <v>1117</v>
      </c>
      <c r="E26" s="75">
        <v>1750</v>
      </c>
      <c r="F26" s="34">
        <f t="shared" si="5"/>
        <v>0</v>
      </c>
      <c r="G26" s="72">
        <v>1027</v>
      </c>
      <c r="H26" s="66">
        <v>1477</v>
      </c>
      <c r="I26" s="23">
        <v>2056</v>
      </c>
      <c r="J26" s="42">
        <v>3508</v>
      </c>
      <c r="K26" s="42">
        <v>1675</v>
      </c>
      <c r="L26" s="52"/>
    </row>
    <row r="27" spans="1:12">
      <c r="A27" s="6">
        <v>24</v>
      </c>
      <c r="B27" s="5" t="s">
        <v>10</v>
      </c>
      <c r="C27" s="42">
        <v>9000</v>
      </c>
      <c r="D27" s="88">
        <v>6495</v>
      </c>
      <c r="E27" s="75">
        <v>9000</v>
      </c>
      <c r="F27" s="34">
        <f t="shared" si="5"/>
        <v>0</v>
      </c>
      <c r="G27" s="72">
        <v>8848</v>
      </c>
      <c r="H27" s="66">
        <f>3213+5670</f>
        <v>8883</v>
      </c>
      <c r="I27" s="23">
        <f>4993+6317</f>
        <v>11310</v>
      </c>
      <c r="J27" s="42">
        <f>5063+8972</f>
        <v>14035</v>
      </c>
      <c r="K27" s="42">
        <f>4145+4566</f>
        <v>8711</v>
      </c>
      <c r="L27" s="52"/>
    </row>
    <row r="28" spans="1:12">
      <c r="A28" s="4">
        <v>25</v>
      </c>
      <c r="B28" s="5" t="s">
        <v>2</v>
      </c>
      <c r="C28" s="42">
        <v>16500</v>
      </c>
      <c r="D28" s="88">
        <v>10236</v>
      </c>
      <c r="E28" s="75">
        <v>16000</v>
      </c>
      <c r="F28" s="34">
        <f t="shared" si="5"/>
        <v>500</v>
      </c>
      <c r="G28" s="72">
        <v>16366</v>
      </c>
      <c r="H28" s="66">
        <v>13937</v>
      </c>
      <c r="I28" s="23">
        <v>15372</v>
      </c>
      <c r="J28" s="42">
        <v>15701</v>
      </c>
      <c r="K28" s="42">
        <v>13244</v>
      </c>
      <c r="L28" s="52"/>
    </row>
    <row r="29" spans="1:12">
      <c r="A29" s="6">
        <v>26</v>
      </c>
      <c r="B29" s="5" t="s">
        <v>9</v>
      </c>
      <c r="C29" s="42">
        <v>2000</v>
      </c>
      <c r="D29" s="88">
        <v>1500</v>
      </c>
      <c r="E29" s="75">
        <v>2000</v>
      </c>
      <c r="F29" s="34">
        <f t="shared" si="5"/>
        <v>0</v>
      </c>
      <c r="G29" s="72">
        <v>2832</v>
      </c>
      <c r="H29" s="66">
        <f>138+4741</f>
        <v>4879</v>
      </c>
      <c r="I29" s="23">
        <f>953+5820</f>
        <v>6773</v>
      </c>
      <c r="J29" s="42">
        <v>3985</v>
      </c>
      <c r="K29" s="42">
        <f>1195+2326</f>
        <v>3521</v>
      </c>
      <c r="L29" s="52"/>
    </row>
    <row r="30" spans="1:12">
      <c r="A30" s="4">
        <v>27</v>
      </c>
      <c r="B30" s="5" t="s">
        <v>32</v>
      </c>
      <c r="C30" s="42">
        <f>5000+3790+3760</f>
        <v>12550</v>
      </c>
      <c r="D30" s="88">
        <v>12600</v>
      </c>
      <c r="E30" s="75">
        <v>12600</v>
      </c>
      <c r="F30" s="34">
        <f t="shared" si="5"/>
        <v>-50</v>
      </c>
      <c r="G30" s="72">
        <v>13691</v>
      </c>
      <c r="H30" s="66">
        <f>6125+4125+3060</f>
        <v>13310</v>
      </c>
      <c r="I30" s="23">
        <f>5625+3750+3750</f>
        <v>13125</v>
      </c>
      <c r="J30" s="42">
        <f>5775+4950+3060</f>
        <v>13785</v>
      </c>
      <c r="K30" s="42">
        <f>5715+5429+3442</f>
        <v>14586</v>
      </c>
      <c r="L30" s="52"/>
    </row>
    <row r="31" spans="1:12">
      <c r="A31" s="6">
        <v>28</v>
      </c>
      <c r="B31" s="5" t="s">
        <v>28</v>
      </c>
      <c r="C31" s="42">
        <v>1000</v>
      </c>
      <c r="D31" s="88">
        <v>0</v>
      </c>
      <c r="E31" s="75">
        <v>1000</v>
      </c>
      <c r="F31" s="34">
        <f t="shared" si="5"/>
        <v>0</v>
      </c>
      <c r="G31" s="72">
        <v>846</v>
      </c>
      <c r="H31" s="66">
        <f>1070+1137</f>
        <v>2207</v>
      </c>
      <c r="I31" s="23">
        <v>0</v>
      </c>
      <c r="J31" s="42">
        <v>5662</v>
      </c>
      <c r="K31" s="42">
        <v>2558</v>
      </c>
      <c r="L31" s="52"/>
    </row>
    <row r="32" spans="1:12">
      <c r="A32" s="4">
        <v>29</v>
      </c>
      <c r="B32" s="5" t="s">
        <v>29</v>
      </c>
      <c r="C32" s="42">
        <v>2500</v>
      </c>
      <c r="D32" s="88">
        <v>0</v>
      </c>
      <c r="E32" s="75">
        <v>0</v>
      </c>
      <c r="F32" s="34">
        <f t="shared" si="5"/>
        <v>2500</v>
      </c>
      <c r="G32" s="72">
        <v>0</v>
      </c>
      <c r="H32" s="66">
        <v>0</v>
      </c>
      <c r="I32" s="23">
        <v>1082</v>
      </c>
      <c r="J32" s="42">
        <v>3534</v>
      </c>
      <c r="K32" s="42">
        <v>737</v>
      </c>
      <c r="L32" s="52"/>
    </row>
    <row r="33" spans="1:12" hidden="1">
      <c r="A33" s="6">
        <v>30</v>
      </c>
      <c r="B33" s="5" t="s">
        <v>33</v>
      </c>
      <c r="C33" s="42">
        <v>0</v>
      </c>
      <c r="D33" s="88">
        <v>0</v>
      </c>
      <c r="E33" s="75">
        <v>0</v>
      </c>
      <c r="F33" s="34">
        <f t="shared" si="5"/>
        <v>0</v>
      </c>
      <c r="G33" s="72">
        <v>0</v>
      </c>
      <c r="H33" s="66">
        <v>0</v>
      </c>
      <c r="I33" s="23">
        <v>18</v>
      </c>
      <c r="J33" s="42">
        <f>53+979</f>
        <v>1032</v>
      </c>
      <c r="K33" s="42">
        <v>824</v>
      </c>
      <c r="L33" s="52"/>
    </row>
    <row r="34" spans="1:12">
      <c r="A34" s="4">
        <v>30</v>
      </c>
      <c r="B34" s="5" t="s">
        <v>42</v>
      </c>
      <c r="C34" s="42">
        <v>18100</v>
      </c>
      <c r="D34" s="88">
        <v>17500</v>
      </c>
      <c r="E34" s="75">
        <v>17500</v>
      </c>
      <c r="F34" s="34">
        <f t="shared" si="5"/>
        <v>600</v>
      </c>
      <c r="G34" s="72">
        <v>17500</v>
      </c>
      <c r="H34" s="66">
        <v>19600</v>
      </c>
      <c r="I34" s="23">
        <v>16600</v>
      </c>
      <c r="J34" s="42">
        <f>12750+1470</f>
        <v>14220</v>
      </c>
      <c r="K34" s="42">
        <v>1269</v>
      </c>
      <c r="L34" s="52"/>
    </row>
    <row r="35" spans="1:12">
      <c r="A35" s="6">
        <v>31</v>
      </c>
      <c r="B35" s="8" t="s">
        <v>13</v>
      </c>
      <c r="C35" s="42">
        <v>0</v>
      </c>
      <c r="D35" s="88">
        <v>0</v>
      </c>
      <c r="E35" s="75">
        <v>0</v>
      </c>
      <c r="F35" s="34">
        <f t="shared" si="5"/>
        <v>0</v>
      </c>
      <c r="G35" s="72">
        <v>0</v>
      </c>
      <c r="H35" s="66">
        <v>4571</v>
      </c>
      <c r="I35" s="23">
        <v>8475</v>
      </c>
      <c r="J35" s="42">
        <v>22493</v>
      </c>
      <c r="K35" s="42">
        <v>18850</v>
      </c>
      <c r="L35" s="52"/>
    </row>
    <row r="36" spans="1:12">
      <c r="A36" s="4">
        <v>32</v>
      </c>
      <c r="B36" s="5" t="s">
        <v>4</v>
      </c>
      <c r="C36" s="42">
        <v>4500</v>
      </c>
      <c r="D36" s="88">
        <v>4054</v>
      </c>
      <c r="E36" s="75">
        <v>4055</v>
      </c>
      <c r="F36" s="34">
        <f t="shared" si="5"/>
        <v>445</v>
      </c>
      <c r="G36" s="72">
        <v>4627</v>
      </c>
      <c r="H36" s="66">
        <v>4896</v>
      </c>
      <c r="I36" s="23">
        <v>3400</v>
      </c>
      <c r="J36" s="42">
        <v>3717</v>
      </c>
      <c r="K36" s="42">
        <v>4524</v>
      </c>
      <c r="L36" s="52"/>
    </row>
    <row r="37" spans="1:12">
      <c r="A37" s="6">
        <v>33</v>
      </c>
      <c r="B37" s="5" t="s">
        <v>3</v>
      </c>
      <c r="C37" s="42">
        <v>1000</v>
      </c>
      <c r="D37" s="88">
        <v>92</v>
      </c>
      <c r="E37" s="75">
        <v>1000</v>
      </c>
      <c r="F37" s="34">
        <f t="shared" si="5"/>
        <v>0</v>
      </c>
      <c r="G37" s="72">
        <v>996</v>
      </c>
      <c r="H37" s="66">
        <v>309</v>
      </c>
      <c r="I37" s="23">
        <f>114</f>
        <v>114</v>
      </c>
      <c r="J37" s="42">
        <f>7282-1470</f>
        <v>5812</v>
      </c>
      <c r="K37" s="42">
        <v>0</v>
      </c>
      <c r="L37" s="52"/>
    </row>
    <row r="38" spans="1:12">
      <c r="A38" s="12">
        <v>34</v>
      </c>
      <c r="B38" s="5" t="s">
        <v>14</v>
      </c>
      <c r="C38" s="42">
        <v>3000</v>
      </c>
      <c r="D38" s="88">
        <v>2250</v>
      </c>
      <c r="E38" s="77">
        <v>3000</v>
      </c>
      <c r="F38" s="34">
        <f t="shared" si="5"/>
        <v>0</v>
      </c>
      <c r="G38" s="72">
        <v>3173</v>
      </c>
      <c r="H38" s="66">
        <v>3000</v>
      </c>
      <c r="I38" s="23">
        <v>3878</v>
      </c>
      <c r="J38" s="42">
        <v>0</v>
      </c>
      <c r="K38" s="42">
        <v>76</v>
      </c>
      <c r="L38" s="52"/>
    </row>
    <row r="39" spans="1:12">
      <c r="A39" s="14">
        <v>35</v>
      </c>
      <c r="B39" s="13" t="s">
        <v>11</v>
      </c>
      <c r="C39" s="44">
        <f>SUM(C12:C38)</f>
        <v>1662582.5</v>
      </c>
      <c r="D39" s="26">
        <f t="shared" ref="D39:K39" si="6">SUM(D12:D38)</f>
        <v>1234449</v>
      </c>
      <c r="E39" s="37">
        <f>SUM(E12:E38)</f>
        <v>1602040</v>
      </c>
      <c r="F39" s="27">
        <f t="shared" si="6"/>
        <v>60542.5</v>
      </c>
      <c r="G39" s="26">
        <f t="shared" ref="G39:H39" si="7">SUM(G12:G38)</f>
        <v>1697761</v>
      </c>
      <c r="H39" s="26">
        <f t="shared" si="7"/>
        <v>1583715</v>
      </c>
      <c r="I39" s="26">
        <f t="shared" ref="I39" si="8">SUM(I12:I38)</f>
        <v>1266746</v>
      </c>
      <c r="J39" s="57">
        <f t="shared" si="6"/>
        <v>1258564</v>
      </c>
      <c r="K39" s="57">
        <f t="shared" si="6"/>
        <v>1049346</v>
      </c>
      <c r="L39" s="54"/>
    </row>
    <row r="40" spans="1:12">
      <c r="A40" s="14">
        <v>36</v>
      </c>
      <c r="B40" s="7" t="s">
        <v>24</v>
      </c>
      <c r="C40" s="43">
        <f>C11-C39</f>
        <v>767.5</v>
      </c>
      <c r="D40" s="24">
        <f t="shared" ref="D40:K40" si="9">D11-D39</f>
        <v>54065</v>
      </c>
      <c r="E40" s="36">
        <f>E11-E39</f>
        <v>-18040</v>
      </c>
      <c r="F40" s="25">
        <f t="shared" si="9"/>
        <v>18807.5</v>
      </c>
      <c r="G40" s="24">
        <f t="shared" si="9"/>
        <v>-4658</v>
      </c>
      <c r="H40" s="24">
        <f t="shared" ref="H40" si="10">H11-H39</f>
        <v>-170505</v>
      </c>
      <c r="I40" s="24">
        <f t="shared" si="9"/>
        <v>-307920</v>
      </c>
      <c r="J40" s="48">
        <f t="shared" si="9"/>
        <v>-346185</v>
      </c>
      <c r="K40" s="48">
        <f t="shared" si="9"/>
        <v>-243770</v>
      </c>
      <c r="L40" s="54"/>
    </row>
    <row r="41" spans="1:12">
      <c r="A41" s="14">
        <v>37</v>
      </c>
      <c r="B41" s="7" t="s">
        <v>37</v>
      </c>
      <c r="C41" s="43">
        <v>0</v>
      </c>
      <c r="D41" s="24">
        <v>0</v>
      </c>
      <c r="E41" s="36">
        <v>0</v>
      </c>
      <c r="F41" s="34">
        <f t="shared" ref="F41" si="11">C41-E41</f>
        <v>0</v>
      </c>
      <c r="G41" s="24">
        <v>0</v>
      </c>
      <c r="H41" s="24">
        <v>100000</v>
      </c>
      <c r="I41" s="24">
        <v>300000</v>
      </c>
      <c r="J41" s="48">
        <v>300000</v>
      </c>
      <c r="K41" s="48">
        <v>250000</v>
      </c>
      <c r="L41" s="54"/>
    </row>
    <row r="42" spans="1:12" ht="16.5" thickBot="1">
      <c r="A42" s="33">
        <v>38</v>
      </c>
      <c r="B42" s="9" t="s">
        <v>23</v>
      </c>
      <c r="C42" s="45">
        <f>SUM(C40:C41)</f>
        <v>767.5</v>
      </c>
      <c r="D42" s="28">
        <f t="shared" ref="D42:J42" si="12">SUM(D40:D41)</f>
        <v>54065</v>
      </c>
      <c r="E42" s="38">
        <f>SUM(E40:E41)</f>
        <v>-18040</v>
      </c>
      <c r="F42" s="29">
        <f t="shared" si="12"/>
        <v>18807.5</v>
      </c>
      <c r="G42" s="28">
        <f t="shared" ref="G42:H42" si="13">SUM(G40:G41)</f>
        <v>-4658</v>
      </c>
      <c r="H42" s="28">
        <f t="shared" si="13"/>
        <v>-70505</v>
      </c>
      <c r="I42" s="28">
        <f t="shared" ref="I42" si="14">SUM(I40:I41)</f>
        <v>-7920</v>
      </c>
      <c r="J42" s="58">
        <f t="shared" si="12"/>
        <v>-46185</v>
      </c>
      <c r="K42" s="58">
        <f>SUM(K40:K41)</f>
        <v>6230</v>
      </c>
      <c r="L42" s="54"/>
    </row>
    <row r="43" spans="1:12" ht="16.5" thickTop="1">
      <c r="A43" s="1"/>
      <c r="B43" s="2"/>
      <c r="C43" s="46"/>
      <c r="D43" s="30"/>
      <c r="E43" s="19"/>
      <c r="F43" s="31"/>
      <c r="G43" s="30"/>
      <c r="H43" s="30"/>
      <c r="I43" s="30"/>
      <c r="J43" s="46"/>
      <c r="K43" s="46"/>
      <c r="L43" s="55"/>
    </row>
    <row r="44" spans="1:12">
      <c r="A44" s="15">
        <v>39</v>
      </c>
      <c r="B44" s="7" t="s">
        <v>12</v>
      </c>
      <c r="C44" s="43">
        <f>L10</f>
        <v>16155000</v>
      </c>
      <c r="D44" s="24">
        <f>O10</f>
        <v>12278772</v>
      </c>
      <c r="E44" s="36">
        <f>M10</f>
        <v>15140000</v>
      </c>
      <c r="F44" s="89">
        <f t="shared" ref="F44" si="15">C44-E44</f>
        <v>1015000</v>
      </c>
      <c r="G44" s="24">
        <v>14989910</v>
      </c>
      <c r="H44" s="24">
        <v>13891511</v>
      </c>
      <c r="I44" s="24">
        <v>9403796</v>
      </c>
      <c r="J44" s="48">
        <f>5292455+3139744+223792+863485</f>
        <v>9519476</v>
      </c>
      <c r="K44" s="48">
        <v>8657553</v>
      </c>
      <c r="L44" s="54"/>
    </row>
    <row r="45" spans="1:12">
      <c r="A45" s="14">
        <v>40</v>
      </c>
      <c r="B45" s="10" t="s">
        <v>38</v>
      </c>
      <c r="C45" s="47">
        <f>ROUND(C39/C44,4)</f>
        <v>0.10290000000000001</v>
      </c>
      <c r="D45" s="32">
        <f>ROUND(D39/D44,4)</f>
        <v>0.10050000000000001</v>
      </c>
      <c r="E45" s="39">
        <f>ROUND(E39/E44,4)</f>
        <v>0.10580000000000001</v>
      </c>
      <c r="F45" s="31"/>
      <c r="G45" s="32">
        <f>ROUND(G39/G44,4)</f>
        <v>0.1133</v>
      </c>
      <c r="H45" s="32">
        <f>ROUND(H39/H44,4)</f>
        <v>0.114</v>
      </c>
      <c r="I45" s="32">
        <f>ROUND(I39/I44,4)</f>
        <v>0.13469999999999999</v>
      </c>
      <c r="J45" s="59">
        <f>ROUND(J39/J44,4)</f>
        <v>0.13220000000000001</v>
      </c>
      <c r="K45" s="59">
        <f>ROUND(K39/K44,4)</f>
        <v>0.1212</v>
      </c>
      <c r="L45" s="56"/>
    </row>
    <row r="46" spans="1:12">
      <c r="A46" s="16">
        <v>41</v>
      </c>
      <c r="B46" s="10" t="s">
        <v>39</v>
      </c>
      <c r="C46" s="47">
        <f>ROUND(C16/C44,4)</f>
        <v>5.2499999999999998E-2</v>
      </c>
      <c r="D46" s="32">
        <f>ROUND(D16/D44,4)</f>
        <v>5.3199999999999997E-2</v>
      </c>
      <c r="E46" s="39">
        <f>ROUND(E16/E44,4)</f>
        <v>5.45E-2</v>
      </c>
      <c r="F46" s="31"/>
      <c r="G46" s="32">
        <f>ROUND(G16/G44,4)</f>
        <v>6.1100000000000002E-2</v>
      </c>
      <c r="H46" s="32">
        <f>ROUND(H16/H44,4)</f>
        <v>5.91E-2</v>
      </c>
      <c r="I46" s="32">
        <f>ROUND(I16/I44,4)</f>
        <v>5.6300000000000003E-2</v>
      </c>
      <c r="J46" s="59">
        <f>ROUND(J16/J44,4)</f>
        <v>5.6099999999999997E-2</v>
      </c>
      <c r="K46" s="59">
        <f>ROUND(K16/K44,4)</f>
        <v>5.3699999999999998E-2</v>
      </c>
      <c r="L46" s="56"/>
    </row>
  </sheetData>
  <phoneticPr fontId="7" type="noConversion"/>
  <printOptions horizontalCentered="1" verticalCentered="1"/>
  <pageMargins left="0" right="0" top="0.5" bottom="0.25" header="0" footer="0.5"/>
  <pageSetup scale="94" orientation="portrait" r:id="rId1"/>
  <headerFooter alignWithMargins="0">
    <oddHeader>&amp;CLongleaf Services, Inc.
FY13 Budget Approved by Longleaf Board of Directors on May 2,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</dc:creator>
  <cp:lastModifiedBy>robbie</cp:lastModifiedBy>
  <cp:lastPrinted>2012-05-04T15:44:25Z</cp:lastPrinted>
  <dcterms:created xsi:type="dcterms:W3CDTF">2007-01-25T19:46:36Z</dcterms:created>
  <dcterms:modified xsi:type="dcterms:W3CDTF">2012-05-04T15:44:47Z</dcterms:modified>
</cp:coreProperties>
</file>