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880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Sheet1!$A$1:$J$46</definedName>
  </definedNames>
  <calcPr calcId="145621"/>
</workbook>
</file>

<file path=xl/calcChain.xml><?xml version="1.0" encoding="utf-8"?>
<calcChain xmlns="http://schemas.openxmlformats.org/spreadsheetml/2006/main">
  <c r="E44" i="1" l="1"/>
  <c r="D44" i="1"/>
  <c r="C44" i="1"/>
  <c r="O11" i="1"/>
  <c r="N11" i="1"/>
  <c r="M11" i="1"/>
  <c r="D5" i="1"/>
  <c r="D6" i="1"/>
  <c r="D31" i="1"/>
  <c r="D25" i="1"/>
  <c r="D30" i="1"/>
  <c r="D27" i="1"/>
  <c r="D23" i="1"/>
  <c r="D16" i="1"/>
  <c r="D15" i="1"/>
  <c r="C15" i="1"/>
  <c r="C18" i="1"/>
  <c r="P11" i="1" l="1"/>
  <c r="C16" i="1"/>
  <c r="C30" i="1" l="1"/>
  <c r="G46" i="1" l="1"/>
  <c r="G39" i="1"/>
  <c r="G45" i="1" s="1"/>
  <c r="G11" i="1"/>
  <c r="F7" i="1"/>
  <c r="F6" i="1"/>
  <c r="F8" i="1"/>
  <c r="F15" i="1"/>
  <c r="I31" i="1"/>
  <c r="I30" i="1"/>
  <c r="I29" i="1"/>
  <c r="I27" i="1"/>
  <c r="I23" i="1"/>
  <c r="I16" i="1"/>
  <c r="I46" i="1" s="1"/>
  <c r="I15" i="1"/>
  <c r="I11" i="1"/>
  <c r="F41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0" i="1"/>
  <c r="F9" i="1"/>
  <c r="F5" i="1"/>
  <c r="F4" i="1"/>
  <c r="P9" i="1"/>
  <c r="P8" i="1"/>
  <c r="P7" i="1"/>
  <c r="P6" i="1"/>
  <c r="P5" i="1"/>
  <c r="P4" i="1"/>
  <c r="H46" i="1"/>
  <c r="H11" i="1"/>
  <c r="J37" i="1"/>
  <c r="J30" i="1"/>
  <c r="J29" i="1"/>
  <c r="J27" i="1"/>
  <c r="J23" i="1"/>
  <c r="J16" i="1"/>
  <c r="J46" i="1" s="1"/>
  <c r="J15" i="1"/>
  <c r="J10" i="1"/>
  <c r="J11" i="1" s="1"/>
  <c r="L29" i="1"/>
  <c r="K37" i="1"/>
  <c r="D11" i="1"/>
  <c r="D46" i="1"/>
  <c r="K10" i="1"/>
  <c r="K11" i="1" s="1"/>
  <c r="L11" i="1"/>
  <c r="K15" i="1"/>
  <c r="L15" i="1"/>
  <c r="K16" i="1"/>
  <c r="L16" i="1"/>
  <c r="K27" i="1"/>
  <c r="L27" i="1"/>
  <c r="K30" i="1"/>
  <c r="L30" i="1"/>
  <c r="K33" i="1"/>
  <c r="K34" i="1"/>
  <c r="K44" i="1"/>
  <c r="L46" i="1"/>
  <c r="G40" i="1" l="1"/>
  <c r="G42" i="1" s="1"/>
  <c r="K39" i="1"/>
  <c r="K40" i="1" s="1"/>
  <c r="K42" i="1" s="1"/>
  <c r="I39" i="1"/>
  <c r="I45" i="1" s="1"/>
  <c r="C11" i="1"/>
  <c r="F44" i="1"/>
  <c r="C46" i="1"/>
  <c r="K46" i="1"/>
  <c r="L39" i="1"/>
  <c r="L40" i="1" s="1"/>
  <c r="L42" i="1" s="1"/>
  <c r="F11" i="1"/>
  <c r="D39" i="1"/>
  <c r="D40" i="1" s="1"/>
  <c r="D42" i="1" s="1"/>
  <c r="E39" i="1"/>
  <c r="E45" i="1" s="1"/>
  <c r="H39" i="1"/>
  <c r="H45" i="1" s="1"/>
  <c r="E11" i="1"/>
  <c r="E46" i="1"/>
  <c r="J39" i="1"/>
  <c r="J45" i="1" s="1"/>
  <c r="K45" i="1" l="1"/>
  <c r="L45" i="1"/>
  <c r="I40" i="1"/>
  <c r="I42" i="1" s="1"/>
  <c r="D45" i="1"/>
  <c r="C39" i="1"/>
  <c r="C45" i="1" s="1"/>
  <c r="F16" i="1"/>
  <c r="F39" i="1" s="1"/>
  <c r="F40" i="1" s="1"/>
  <c r="F42" i="1" s="1"/>
  <c r="H40" i="1"/>
  <c r="H42" i="1" s="1"/>
  <c r="E40" i="1"/>
  <c r="E42" i="1" s="1"/>
  <c r="J40" i="1"/>
  <c r="J42" i="1" s="1"/>
  <c r="C40" i="1" l="1"/>
  <c r="C42" i="1" s="1"/>
</calcChain>
</file>

<file path=xl/sharedStrings.xml><?xml version="1.0" encoding="utf-8"?>
<sst xmlns="http://schemas.openxmlformats.org/spreadsheetml/2006/main" count="69" uniqueCount="61">
  <si>
    <t>Actual</t>
  </si>
  <si>
    <t>Salaries</t>
  </si>
  <si>
    <t>Postage</t>
  </si>
  <si>
    <t>Miscellaneous</t>
  </si>
  <si>
    <t>Insurance</t>
  </si>
  <si>
    <t>Revenue</t>
  </si>
  <si>
    <t>Total Revenue</t>
  </si>
  <si>
    <t>Expenses</t>
  </si>
  <si>
    <t>Collection Expenses</t>
  </si>
  <si>
    <t>Equip/Furn Depreciation</t>
  </si>
  <si>
    <t>Telephone/800-lines</t>
  </si>
  <si>
    <t>Total Expenses</t>
  </si>
  <si>
    <t>Total Net Book Sales</t>
  </si>
  <si>
    <t>Interest Expense</t>
  </si>
  <si>
    <t>Bad Debt Expense</t>
  </si>
  <si>
    <t>Temp Employment</t>
  </si>
  <si>
    <t>Copy Machine</t>
  </si>
  <si>
    <t>Fees to Maple-Vail</t>
  </si>
  <si>
    <t>Budget</t>
  </si>
  <si>
    <t>FY07</t>
  </si>
  <si>
    <t>Unitech EDI Fees</t>
  </si>
  <si>
    <t>PubNet Fees</t>
  </si>
  <si>
    <t>Warehouse Postage</t>
  </si>
  <si>
    <t>Net Surplus/(Deficit)</t>
  </si>
  <si>
    <t>Operating Surplus/(Deficit)</t>
  </si>
  <si>
    <t>FY08</t>
  </si>
  <si>
    <t>Variance</t>
  </si>
  <si>
    <t>Shopping Cart Fees</t>
  </si>
  <si>
    <t>Staff Training/Development</t>
  </si>
  <si>
    <t>Travel - Client Recruiting</t>
  </si>
  <si>
    <t>POD Fulfillment Fees</t>
  </si>
  <si>
    <t>Office Supplies</t>
  </si>
  <si>
    <t>Space (bldg maint/util/deprec)</t>
  </si>
  <si>
    <t>Travel - General/BOG Mtgs</t>
  </si>
  <si>
    <t>Fulfill System Fees/Deprec</t>
  </si>
  <si>
    <t>Retire/SocSec/Health Ins</t>
  </si>
  <si>
    <t>Misc Income</t>
  </si>
  <si>
    <t>Draw from Op Reserve</t>
  </si>
  <si>
    <t>Expenses as % of Net Sales</t>
  </si>
  <si>
    <t>MV Fee as % of Net Sales</t>
  </si>
  <si>
    <t>Bank/Credit Card Fees</t>
  </si>
  <si>
    <t>FY09</t>
  </si>
  <si>
    <t>Audit &amp; Legal Fees</t>
  </si>
  <si>
    <t>FY10</t>
  </si>
  <si>
    <t>FY12</t>
  </si>
  <si>
    <t>FY11</t>
  </si>
  <si>
    <t>FY13</t>
  </si>
  <si>
    <t>FY13 Actual</t>
  </si>
  <si>
    <t>FY13 Rev'd</t>
  </si>
  <si>
    <t>FY14 Draft</t>
  </si>
  <si>
    <t>FY13 YTD</t>
  </si>
  <si>
    <t>FY14 Proposed</t>
  </si>
  <si>
    <t>UNC Press ($4,925,000)</t>
  </si>
  <si>
    <t>Rutgers ($2,200,000)</t>
  </si>
  <si>
    <t>West Indies ($170,000)</t>
  </si>
  <si>
    <t>LSU ($1,700,000)</t>
  </si>
  <si>
    <t>Syracuse ($850,000)</t>
  </si>
  <si>
    <t>Nebraska ($4,500,000)</t>
  </si>
  <si>
    <t>Rev'd Budget</t>
  </si>
  <si>
    <t>thru 4/30</t>
  </si>
  <si>
    <t>FY14vsFY13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</si>
</sst>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0_);\(0.00\)"/>
    <numFmt numFmtId="165" formatCode="0_);\(0\)"/>
  </numFmts>
  <fonts count="8">
    <font>
      <sz val="12"/>
      <name val="Times New Roman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2" fontId="1" fillId="0" borderId="0"/>
    <xf numFmtId="0" fontId="3" fillId="0" borderId="0"/>
  </cellStyleXfs>
  <cellXfs count="87">
    <xf numFmtId="0" fontId="0" fillId="0" borderId="0" xfId="0"/>
    <xf numFmtId="2" fontId="3" fillId="0" borderId="0" xfId="1" applyFont="1" applyBorder="1"/>
    <xf numFmtId="164" fontId="2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165" fontId="5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2" fillId="0" borderId="4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2" fontId="2" fillId="0" borderId="6" xfId="1" applyFont="1" applyFill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left"/>
    </xf>
    <xf numFmtId="165" fontId="5" fillId="0" borderId="3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37" fontId="3" fillId="0" borderId="11" xfId="1" applyNumberFormat="1" applyFont="1" applyFill="1" applyBorder="1"/>
    <xf numFmtId="37" fontId="3" fillId="0" borderId="12" xfId="1" applyNumberFormat="1" applyFont="1" applyFill="1" applyBorder="1"/>
    <xf numFmtId="2" fontId="3" fillId="0" borderId="11" xfId="1" applyFont="1" applyFill="1" applyBorder="1"/>
    <xf numFmtId="2" fontId="2" fillId="0" borderId="17" xfId="1" applyFont="1" applyFill="1" applyBorder="1" applyAlignment="1">
      <alignment horizontal="center"/>
    </xf>
    <xf numFmtId="37" fontId="3" fillId="0" borderId="17" xfId="1" applyNumberFormat="1" applyFont="1" applyFill="1" applyBorder="1"/>
    <xf numFmtId="0" fontId="0" fillId="0" borderId="18" xfId="0" applyBorder="1"/>
    <xf numFmtId="37" fontId="3" fillId="0" borderId="19" xfId="1" applyNumberFormat="1" applyFont="1" applyFill="1" applyBorder="1"/>
    <xf numFmtId="5" fontId="3" fillId="0" borderId="20" xfId="1" applyNumberFormat="1" applyFont="1" applyBorder="1"/>
    <xf numFmtId="5" fontId="3" fillId="0" borderId="21" xfId="1" applyNumberFormat="1" applyFont="1" applyBorder="1"/>
    <xf numFmtId="5" fontId="3" fillId="0" borderId="22" xfId="1" applyNumberFormat="1" applyFont="1" applyBorder="1"/>
    <xf numFmtId="5" fontId="3" fillId="0" borderId="23" xfId="1" applyNumberFormat="1" applyFont="1" applyBorder="1"/>
    <xf numFmtId="5" fontId="3" fillId="0" borderId="24" xfId="1" applyNumberFormat="1" applyFont="1" applyBorder="1"/>
    <xf numFmtId="5" fontId="3" fillId="0" borderId="25" xfId="1" applyNumberFormat="1" applyFont="1" applyBorder="1"/>
    <xf numFmtId="2" fontId="3" fillId="0" borderId="17" xfId="1" applyFont="1" applyFill="1" applyBorder="1"/>
    <xf numFmtId="0" fontId="0" fillId="0" borderId="26" xfId="0" applyBorder="1"/>
    <xf numFmtId="10" fontId="3" fillId="0" borderId="27" xfId="1" applyNumberFormat="1" applyFont="1" applyBorder="1"/>
    <xf numFmtId="165" fontId="5" fillId="0" borderId="4" xfId="1" applyNumberFormat="1" applyFont="1" applyBorder="1" applyAlignment="1">
      <alignment horizontal="center"/>
    </xf>
    <xf numFmtId="37" fontId="0" fillId="0" borderId="28" xfId="0" applyNumberFormat="1" applyBorder="1"/>
    <xf numFmtId="165" fontId="5" fillId="0" borderId="0" xfId="1" applyNumberFormat="1" applyFont="1" applyBorder="1" applyAlignment="1">
      <alignment horizontal="center"/>
    </xf>
    <xf numFmtId="5" fontId="3" fillId="0" borderId="13" xfId="1" applyNumberFormat="1" applyFont="1" applyFill="1" applyBorder="1"/>
    <xf numFmtId="5" fontId="3" fillId="0" borderId="14" xfId="1" applyNumberFormat="1" applyFont="1" applyFill="1" applyBorder="1"/>
    <xf numFmtId="5" fontId="3" fillId="0" borderId="15" xfId="1" applyNumberFormat="1" applyFont="1" applyFill="1" applyBorder="1"/>
    <xf numFmtId="10" fontId="3" fillId="0" borderId="16" xfId="1" applyNumberFormat="1" applyFont="1" applyFill="1" applyBorder="1"/>
    <xf numFmtId="2" fontId="2" fillId="0" borderId="30" xfId="1" applyFont="1" applyFill="1" applyBorder="1" applyAlignment="1">
      <alignment horizontal="center"/>
    </xf>
    <xf numFmtId="37" fontId="3" fillId="0" borderId="30" xfId="1" applyNumberFormat="1" applyFont="1" applyFill="1" applyBorder="1"/>
    <xf numFmtId="37" fontId="3" fillId="0" borderId="31" xfId="1" applyNumberFormat="1" applyFont="1" applyFill="1" applyBorder="1"/>
    <xf numFmtId="5" fontId="3" fillId="0" borderId="32" xfId="1" applyNumberFormat="1" applyFont="1" applyFill="1" applyBorder="1"/>
    <xf numFmtId="5" fontId="3" fillId="0" borderId="33" xfId="1" applyNumberFormat="1" applyFont="1" applyFill="1" applyBorder="1"/>
    <xf numFmtId="5" fontId="3" fillId="0" borderId="34" xfId="1" applyNumberFormat="1" applyFont="1" applyFill="1" applyBorder="1"/>
    <xf numFmtId="2" fontId="3" fillId="0" borderId="30" xfId="1" applyFont="1" applyFill="1" applyBorder="1"/>
    <xf numFmtId="10" fontId="3" fillId="0" borderId="29" xfId="1" applyNumberFormat="1" applyFont="1" applyFill="1" applyBorder="1"/>
    <xf numFmtId="5" fontId="3" fillId="0" borderId="32" xfId="1" applyNumberFormat="1" applyFont="1" applyBorder="1"/>
    <xf numFmtId="2" fontId="2" fillId="0" borderId="17" xfId="1" applyFont="1" applyFill="1" applyBorder="1" applyAlignment="1">
      <alignment horizontal="center"/>
    </xf>
    <xf numFmtId="2" fontId="2" fillId="0" borderId="26" xfId="1" applyFont="1" applyFill="1" applyBorder="1" applyAlignment="1">
      <alignment horizontal="center"/>
    </xf>
    <xf numFmtId="37" fontId="3" fillId="0" borderId="0" xfId="1" applyNumberFormat="1" applyFont="1" applyFill="1" applyBorder="1"/>
    <xf numFmtId="2" fontId="2" fillId="0" borderId="0" xfId="1" applyFont="1" applyFill="1" applyBorder="1" applyAlignment="1">
      <alignment horizontal="center"/>
    </xf>
    <xf numFmtId="5" fontId="3" fillId="0" borderId="0" xfId="1" applyNumberFormat="1" applyFont="1" applyBorder="1"/>
    <xf numFmtId="2" fontId="3" fillId="0" borderId="0" xfId="1" applyFont="1" applyFill="1" applyBorder="1"/>
    <xf numFmtId="10" fontId="3" fillId="0" borderId="0" xfId="1" applyNumberFormat="1" applyFont="1" applyBorder="1"/>
    <xf numFmtId="5" fontId="3" fillId="0" borderId="33" xfId="1" applyNumberFormat="1" applyFont="1" applyBorder="1"/>
    <xf numFmtId="5" fontId="3" fillId="0" borderId="34" xfId="1" applyNumberFormat="1" applyFont="1" applyBorder="1"/>
    <xf numFmtId="10" fontId="3" fillId="0" borderId="29" xfId="1" applyNumberFormat="1" applyFont="1" applyBorder="1"/>
    <xf numFmtId="0" fontId="0" fillId="0" borderId="6" xfId="0" applyBorder="1"/>
    <xf numFmtId="0" fontId="0" fillId="0" borderId="17" xfId="0" applyBorder="1"/>
    <xf numFmtId="10" fontId="0" fillId="0" borderId="36" xfId="0" applyNumberFormat="1" applyBorder="1"/>
    <xf numFmtId="10" fontId="0" fillId="0" borderId="37" xfId="0" applyNumberFormat="1" applyBorder="1"/>
    <xf numFmtId="37" fontId="0" fillId="0" borderId="8" xfId="0" applyNumberFormat="1" applyBorder="1"/>
    <xf numFmtId="10" fontId="0" fillId="0" borderId="35" xfId="0" applyNumberFormat="1" applyBorder="1"/>
    <xf numFmtId="37" fontId="3" fillId="0" borderId="19" xfId="1" applyNumberFormat="1" applyFont="1" applyFill="1" applyBorder="1"/>
    <xf numFmtId="2" fontId="2" fillId="0" borderId="6" xfId="1" applyFont="1" applyFill="1" applyBorder="1" applyAlignment="1">
      <alignment horizontal="center"/>
    </xf>
    <xf numFmtId="37" fontId="0" fillId="0" borderId="15" xfId="0" applyNumberFormat="1" applyBorder="1"/>
    <xf numFmtId="37" fontId="3" fillId="0" borderId="40" xfId="1" applyNumberFormat="1" applyFont="1" applyFill="1" applyBorder="1"/>
    <xf numFmtId="37" fontId="3" fillId="0" borderId="41" xfId="1" applyNumberFormat="1" applyFont="1" applyFill="1" applyBorder="1"/>
    <xf numFmtId="37" fontId="3" fillId="0" borderId="19" xfId="1" applyNumberFormat="1" applyFont="1" applyFill="1" applyBorder="1"/>
    <xf numFmtId="37" fontId="3" fillId="0" borderId="19" xfId="1" applyNumberFormat="1" applyFont="1" applyFill="1" applyBorder="1"/>
    <xf numFmtId="37" fontId="3" fillId="0" borderId="12" xfId="1" applyNumberFormat="1" applyFont="1" applyFill="1" applyBorder="1"/>
    <xf numFmtId="37" fontId="3" fillId="0" borderId="7" xfId="1" applyNumberFormat="1" applyFont="1" applyFill="1" applyBorder="1"/>
    <xf numFmtId="2" fontId="2" fillId="0" borderId="0" xfId="1" applyFont="1" applyFill="1" applyBorder="1" applyAlignment="1">
      <alignment horizontal="center"/>
    </xf>
    <xf numFmtId="37" fontId="3" fillId="0" borderId="38" xfId="1" applyNumberFormat="1" applyFont="1" applyFill="1" applyBorder="1"/>
    <xf numFmtId="37" fontId="3" fillId="0" borderId="11" xfId="1" applyNumberFormat="1" applyFont="1" applyFill="1" applyBorder="1"/>
    <xf numFmtId="37" fontId="3" fillId="0" borderId="12" xfId="1" applyNumberFormat="1" applyFont="1" applyFill="1" applyBorder="1"/>
    <xf numFmtId="2" fontId="2" fillId="0" borderId="17" xfId="1" applyFont="1" applyFill="1" applyBorder="1" applyAlignment="1">
      <alignment horizontal="center"/>
    </xf>
    <xf numFmtId="37" fontId="0" fillId="0" borderId="34" xfId="0" applyNumberFormat="1" applyBorder="1"/>
    <xf numFmtId="37" fontId="3" fillId="0" borderId="6" xfId="1" applyNumberFormat="1" applyFont="1" applyFill="1" applyBorder="1"/>
    <xf numFmtId="37" fontId="3" fillId="0" borderId="7" xfId="1" applyNumberFormat="1" applyFont="1" applyFill="1" applyBorder="1"/>
    <xf numFmtId="37" fontId="3" fillId="0" borderId="19" xfId="1" applyNumberFormat="1" applyFont="1" applyFill="1" applyBorder="1"/>
    <xf numFmtId="164" fontId="2" fillId="0" borderId="1" xfId="1" applyNumberFormat="1" applyFont="1" applyBorder="1" applyAlignment="1">
      <alignment horizontal="left"/>
    </xf>
    <xf numFmtId="37" fontId="3" fillId="0" borderId="39" xfId="1" applyNumberFormat="1" applyFont="1" applyFill="1" applyBorder="1"/>
    <xf numFmtId="37" fontId="0" fillId="0" borderId="21" xfId="0" applyNumberFormat="1" applyBorder="1"/>
    <xf numFmtId="37" fontId="3" fillId="0" borderId="42" xfId="1" applyNumberFormat="1" applyFont="1" applyFill="1" applyBorder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/>
  </sheetViews>
  <sheetFormatPr defaultRowHeight="15.75"/>
  <cols>
    <col min="1" max="1" width="4.25" bestFit="1" customWidth="1"/>
    <col min="2" max="2" width="25.625" customWidth="1"/>
    <col min="3" max="3" width="13.625" bestFit="1" customWidth="1"/>
    <col min="4" max="4" width="11.5" bestFit="1" customWidth="1"/>
    <col min="5" max="5" width="12.375" bestFit="1" customWidth="1"/>
    <col min="6" max="7" width="11.5" bestFit="1" customWidth="1"/>
    <col min="8" max="9" width="11.5" hidden="1" customWidth="1"/>
    <col min="10" max="12" width="10.5" hidden="1" customWidth="1"/>
    <col min="13" max="13" width="10.5" customWidth="1"/>
    <col min="14" max="14" width="10.875" customWidth="1"/>
    <col min="15" max="15" width="10.875" bestFit="1" customWidth="1"/>
  </cols>
  <sheetData>
    <row r="1" spans="1:16">
      <c r="A1" s="1"/>
      <c r="B1" s="2"/>
      <c r="C1" s="40" t="s">
        <v>51</v>
      </c>
      <c r="D1" s="49" t="s">
        <v>47</v>
      </c>
      <c r="E1" s="66" t="s">
        <v>46</v>
      </c>
      <c r="F1" s="50" t="s">
        <v>26</v>
      </c>
      <c r="G1" s="40" t="s">
        <v>44</v>
      </c>
      <c r="H1" s="49" t="s">
        <v>45</v>
      </c>
      <c r="I1" s="49" t="s">
        <v>43</v>
      </c>
      <c r="J1" s="20" t="s">
        <v>41</v>
      </c>
      <c r="K1" s="40" t="s">
        <v>25</v>
      </c>
      <c r="L1" s="40" t="s">
        <v>19</v>
      </c>
      <c r="M1" s="74" t="s">
        <v>49</v>
      </c>
      <c r="N1" s="49" t="s">
        <v>48</v>
      </c>
      <c r="O1" s="78" t="s">
        <v>50</v>
      </c>
      <c r="P1" s="22"/>
    </row>
    <row r="2" spans="1:16">
      <c r="A2" s="1"/>
      <c r="B2" s="2"/>
      <c r="C2" s="40" t="s">
        <v>18</v>
      </c>
      <c r="D2" s="49" t="s">
        <v>59</v>
      </c>
      <c r="E2" s="11" t="s">
        <v>58</v>
      </c>
      <c r="F2" s="50" t="s">
        <v>60</v>
      </c>
      <c r="G2" s="40" t="s">
        <v>0</v>
      </c>
      <c r="H2" s="20" t="s">
        <v>0</v>
      </c>
      <c r="I2" s="49" t="s">
        <v>0</v>
      </c>
      <c r="J2" s="20" t="s">
        <v>0</v>
      </c>
      <c r="K2" s="40" t="s">
        <v>0</v>
      </c>
      <c r="L2" s="40" t="s">
        <v>0</v>
      </c>
      <c r="M2" s="52" t="s">
        <v>18</v>
      </c>
      <c r="N2" s="49" t="s">
        <v>18</v>
      </c>
      <c r="O2" s="66" t="s">
        <v>0</v>
      </c>
      <c r="P2" s="22"/>
    </row>
    <row r="3" spans="1:16">
      <c r="A3" s="1"/>
      <c r="B3" s="3" t="s">
        <v>5</v>
      </c>
      <c r="C3" s="41"/>
      <c r="D3" s="21"/>
      <c r="E3" s="17"/>
      <c r="F3" s="22"/>
      <c r="G3" s="41"/>
      <c r="H3" s="21"/>
      <c r="I3" s="21"/>
      <c r="J3" s="21"/>
      <c r="K3" s="41"/>
      <c r="L3" s="41"/>
      <c r="N3" s="60"/>
      <c r="O3" s="59"/>
      <c r="P3" s="22"/>
    </row>
    <row r="4" spans="1:16">
      <c r="A4" s="4">
        <v>1</v>
      </c>
      <c r="B4" s="83" t="s">
        <v>52</v>
      </c>
      <c r="C4" s="42">
        <v>480560</v>
      </c>
      <c r="D4" s="82">
        <v>446159</v>
      </c>
      <c r="E4" s="72">
        <v>535000</v>
      </c>
      <c r="F4" s="34">
        <f>C4-E4</f>
        <v>-54440</v>
      </c>
      <c r="G4" s="42">
        <v>540531</v>
      </c>
      <c r="H4" s="70">
        <v>560925</v>
      </c>
      <c r="I4" s="65">
        <v>489924</v>
      </c>
      <c r="J4" s="23">
        <v>461813</v>
      </c>
      <c r="K4" s="42">
        <v>472772</v>
      </c>
      <c r="L4" s="42">
        <v>525215</v>
      </c>
      <c r="M4" s="68">
        <v>4925000</v>
      </c>
      <c r="N4" s="77">
        <v>5350000</v>
      </c>
      <c r="O4" s="81">
        <v>4563198</v>
      </c>
      <c r="P4" s="61">
        <f t="shared" ref="P4:P9" si="0">O4/N4</f>
        <v>0.85293420560747668</v>
      </c>
    </row>
    <row r="5" spans="1:16">
      <c r="A5" s="6">
        <v>2</v>
      </c>
      <c r="B5" s="83" t="s">
        <v>53</v>
      </c>
      <c r="C5" s="42">
        <v>279125</v>
      </c>
      <c r="D5" s="82">
        <f>174764+35000</f>
        <v>209764</v>
      </c>
      <c r="E5" s="72">
        <v>253000</v>
      </c>
      <c r="F5" s="34">
        <f t="shared" ref="F5:F10" si="1">C5-E5</f>
        <v>26125</v>
      </c>
      <c r="G5" s="42">
        <v>287498</v>
      </c>
      <c r="H5" s="70">
        <v>282017</v>
      </c>
      <c r="I5" s="65">
        <v>292896</v>
      </c>
      <c r="J5" s="23">
        <v>264545</v>
      </c>
      <c r="K5" s="42">
        <v>313974</v>
      </c>
      <c r="L5" s="42">
        <v>275884</v>
      </c>
      <c r="M5" s="68">
        <v>2200000</v>
      </c>
      <c r="N5" s="77">
        <v>2200000</v>
      </c>
      <c r="O5" s="81">
        <v>1542280</v>
      </c>
      <c r="P5" s="61">
        <f t="shared" si="0"/>
        <v>0.70103636363636368</v>
      </c>
    </row>
    <row r="6" spans="1:16">
      <c r="A6" s="4">
        <v>3</v>
      </c>
      <c r="B6" s="83" t="s">
        <v>54</v>
      </c>
      <c r="C6" s="42">
        <v>36725</v>
      </c>
      <c r="D6" s="82">
        <f>22619+7000</f>
        <v>29619</v>
      </c>
      <c r="E6" s="72">
        <v>26250</v>
      </c>
      <c r="F6" s="34">
        <f t="shared" si="1"/>
        <v>10475</v>
      </c>
      <c r="G6" s="42">
        <v>31419</v>
      </c>
      <c r="H6" s="70">
        <v>43439</v>
      </c>
      <c r="I6" s="65">
        <v>37147</v>
      </c>
      <c r="J6" s="23">
        <v>40569</v>
      </c>
      <c r="K6" s="42">
        <v>31331</v>
      </c>
      <c r="L6" s="42">
        <v>0</v>
      </c>
      <c r="M6" s="68">
        <v>170000</v>
      </c>
      <c r="N6" s="77">
        <v>150000</v>
      </c>
      <c r="O6" s="81">
        <v>129253</v>
      </c>
      <c r="P6" s="61">
        <f t="shared" si="0"/>
        <v>0.86168666666666671</v>
      </c>
    </row>
    <row r="7" spans="1:16">
      <c r="A7" s="4">
        <v>4</v>
      </c>
      <c r="B7" s="83" t="s">
        <v>55</v>
      </c>
      <c r="C7" s="42">
        <v>193500</v>
      </c>
      <c r="D7" s="82">
        <v>155460</v>
      </c>
      <c r="E7" s="72">
        <v>201600</v>
      </c>
      <c r="F7" s="34">
        <f t="shared" si="1"/>
        <v>-8100</v>
      </c>
      <c r="G7" s="42">
        <v>202223</v>
      </c>
      <c r="H7" s="70">
        <v>186940</v>
      </c>
      <c r="I7" s="65">
        <v>199071</v>
      </c>
      <c r="J7" s="23">
        <v>190660</v>
      </c>
      <c r="K7" s="42">
        <v>90952</v>
      </c>
      <c r="L7" s="42">
        <v>0</v>
      </c>
      <c r="M7" s="68">
        <v>1700000</v>
      </c>
      <c r="N7" s="77">
        <v>1680000</v>
      </c>
      <c r="O7" s="81">
        <v>1427612</v>
      </c>
      <c r="P7" s="61">
        <f t="shared" si="0"/>
        <v>0.84976904761904759</v>
      </c>
    </row>
    <row r="8" spans="1:16">
      <c r="A8" s="4">
        <v>5</v>
      </c>
      <c r="B8" s="83" t="s">
        <v>56</v>
      </c>
      <c r="C8" s="42">
        <v>155325</v>
      </c>
      <c r="D8" s="82">
        <v>130564</v>
      </c>
      <c r="E8" s="72">
        <v>111000</v>
      </c>
      <c r="F8" s="34">
        <f t="shared" si="1"/>
        <v>44325</v>
      </c>
      <c r="G8" s="42">
        <v>154493</v>
      </c>
      <c r="H8" s="70">
        <v>154524</v>
      </c>
      <c r="I8" s="65">
        <v>134324</v>
      </c>
      <c r="J8" s="23"/>
      <c r="K8" s="42"/>
      <c r="L8" s="42"/>
      <c r="M8" s="68">
        <v>850000</v>
      </c>
      <c r="N8" s="77">
        <v>925000</v>
      </c>
      <c r="O8" s="81">
        <v>693458</v>
      </c>
      <c r="P8" s="61">
        <f t="shared" si="0"/>
        <v>0.7496843243243243</v>
      </c>
    </row>
    <row r="9" spans="1:16">
      <c r="A9" s="4">
        <v>6</v>
      </c>
      <c r="B9" s="83" t="s">
        <v>57</v>
      </c>
      <c r="C9" s="42">
        <v>457700</v>
      </c>
      <c r="D9" s="82">
        <v>427884</v>
      </c>
      <c r="E9" s="72">
        <v>446500</v>
      </c>
      <c r="F9" s="34">
        <f t="shared" si="1"/>
        <v>11200</v>
      </c>
      <c r="G9" s="42">
        <v>448292</v>
      </c>
      <c r="H9" s="70">
        <v>465158</v>
      </c>
      <c r="I9" s="65">
        <v>259768</v>
      </c>
      <c r="J9" s="23"/>
      <c r="K9" s="42"/>
      <c r="L9" s="42"/>
      <c r="M9" s="69">
        <v>4500000</v>
      </c>
      <c r="N9" s="76">
        <v>4700000</v>
      </c>
      <c r="O9" s="80">
        <v>3997073</v>
      </c>
      <c r="P9" s="62">
        <f t="shared" si="0"/>
        <v>0.85044106382978724</v>
      </c>
    </row>
    <row r="10" spans="1:16" ht="16.5" hidden="1" thickBot="1">
      <c r="A10" s="35">
        <v>7</v>
      </c>
      <c r="B10" s="5" t="s">
        <v>36</v>
      </c>
      <c r="C10" s="42">
        <v>0</v>
      </c>
      <c r="D10" s="23">
        <v>0</v>
      </c>
      <c r="E10" s="18">
        <v>0</v>
      </c>
      <c r="F10" s="34">
        <f t="shared" si="1"/>
        <v>0</v>
      </c>
      <c r="G10" s="42">
        <v>0</v>
      </c>
      <c r="H10" s="70">
        <v>100</v>
      </c>
      <c r="I10" s="65">
        <v>80</v>
      </c>
      <c r="J10" s="23">
        <f>1085+154</f>
        <v>1239</v>
      </c>
      <c r="K10" s="42">
        <f>3410-84+24</f>
        <v>3350</v>
      </c>
      <c r="L10" s="42">
        <v>4477</v>
      </c>
      <c r="M10" s="79"/>
      <c r="N10" s="67"/>
      <c r="O10" s="63"/>
      <c r="P10" s="64"/>
    </row>
    <row r="11" spans="1:16" ht="16.5" thickBot="1">
      <c r="A11" s="14">
        <v>7</v>
      </c>
      <c r="B11" s="7" t="s">
        <v>6</v>
      </c>
      <c r="C11" s="43">
        <f>SUM(C4:C10)</f>
        <v>1602935</v>
      </c>
      <c r="D11" s="24">
        <f t="shared" ref="D11:L11" si="2">SUM(D4:D10)</f>
        <v>1399450</v>
      </c>
      <c r="E11" s="36">
        <f>SUM(E4:E10)</f>
        <v>1573350</v>
      </c>
      <c r="F11" s="25">
        <f t="shared" si="2"/>
        <v>29585</v>
      </c>
      <c r="G11" s="48">
        <f t="shared" si="2"/>
        <v>1664456</v>
      </c>
      <c r="H11" s="24">
        <f t="shared" ref="H11:I11" si="3">SUM(H4:H10)</f>
        <v>1693103</v>
      </c>
      <c r="I11" s="24">
        <f t="shared" si="3"/>
        <v>1413210</v>
      </c>
      <c r="J11" s="24">
        <f t="shared" ref="J11" si="4">SUM(J4:J10)</f>
        <v>958826</v>
      </c>
      <c r="K11" s="48">
        <f t="shared" si="2"/>
        <v>912379</v>
      </c>
      <c r="L11" s="48">
        <f t="shared" si="2"/>
        <v>805576</v>
      </c>
      <c r="M11" s="79">
        <f>SUM(M4:M10)</f>
        <v>14345000</v>
      </c>
      <c r="N11" s="67">
        <f>SUM(N4:N10)</f>
        <v>15005000</v>
      </c>
      <c r="O11" s="63">
        <f>SUM(O4:O10)</f>
        <v>12352874</v>
      </c>
      <c r="P11" s="64">
        <f t="shared" ref="P11" si="5">O11/N11</f>
        <v>0.82325051649450187</v>
      </c>
    </row>
    <row r="12" spans="1:16" ht="16.5" thickTop="1">
      <c r="A12" s="6">
        <v>8</v>
      </c>
      <c r="B12" s="3" t="s">
        <v>7</v>
      </c>
      <c r="C12" s="41"/>
      <c r="D12" s="21"/>
      <c r="E12" s="17"/>
      <c r="F12" s="22"/>
      <c r="G12" s="41"/>
      <c r="H12" s="21"/>
      <c r="I12" s="21"/>
      <c r="J12" s="21"/>
      <c r="K12" s="41"/>
      <c r="L12" s="41"/>
      <c r="M12" s="51"/>
    </row>
    <row r="13" spans="1:16">
      <c r="A13" s="6">
        <v>9</v>
      </c>
      <c r="B13" s="5" t="s">
        <v>1</v>
      </c>
      <c r="C13" s="42">
        <v>428360</v>
      </c>
      <c r="D13" s="84">
        <v>356355</v>
      </c>
      <c r="E13" s="73">
        <v>434250</v>
      </c>
      <c r="F13" s="34">
        <f t="shared" ref="F13:F38" si="6">C13-E13</f>
        <v>-5890</v>
      </c>
      <c r="G13" s="42">
        <v>415705</v>
      </c>
      <c r="H13" s="71">
        <v>408152</v>
      </c>
      <c r="I13" s="65">
        <v>376231</v>
      </c>
      <c r="J13" s="23">
        <v>399155</v>
      </c>
      <c r="K13" s="42">
        <v>375476</v>
      </c>
      <c r="L13" s="42">
        <v>326226</v>
      </c>
      <c r="M13" s="51"/>
    </row>
    <row r="14" spans="1:16">
      <c r="A14" s="4">
        <v>10</v>
      </c>
      <c r="B14" s="5" t="s">
        <v>15</v>
      </c>
      <c r="C14" s="42">
        <v>0</v>
      </c>
      <c r="D14" s="84">
        <v>0</v>
      </c>
      <c r="E14" s="73">
        <v>0</v>
      </c>
      <c r="F14" s="34">
        <f t="shared" si="6"/>
        <v>0</v>
      </c>
      <c r="G14" s="42">
        <v>12435</v>
      </c>
      <c r="H14" s="71">
        <v>2152</v>
      </c>
      <c r="I14" s="65">
        <v>14014</v>
      </c>
      <c r="J14" s="23">
        <v>0</v>
      </c>
      <c r="K14" s="42">
        <v>8703</v>
      </c>
      <c r="L14" s="42">
        <v>3598</v>
      </c>
      <c r="M14" s="51"/>
    </row>
    <row r="15" spans="1:16">
      <c r="A15" s="6">
        <v>11</v>
      </c>
      <c r="B15" s="5" t="s">
        <v>35</v>
      </c>
      <c r="C15" s="42">
        <f>47825+61740+32770</f>
        <v>142335</v>
      </c>
      <c r="D15" s="84">
        <f>2897+50951+25722+39372</f>
        <v>118942</v>
      </c>
      <c r="E15" s="73">
        <v>142240</v>
      </c>
      <c r="F15" s="34">
        <f t="shared" si="6"/>
        <v>95</v>
      </c>
      <c r="G15" s="42">
        <v>130187</v>
      </c>
      <c r="H15" s="71">
        <v>113740</v>
      </c>
      <c r="I15" s="65">
        <f>31918+28046+33245</f>
        <v>93209</v>
      </c>
      <c r="J15" s="23">
        <f>30727+28376+29730</f>
        <v>88833</v>
      </c>
      <c r="K15" s="42">
        <f>28234+26812+28634</f>
        <v>83680</v>
      </c>
      <c r="L15" s="42">
        <f>22156+22865+23251</f>
        <v>68272</v>
      </c>
      <c r="M15" s="51"/>
    </row>
    <row r="16" spans="1:16">
      <c r="A16" s="6">
        <v>12</v>
      </c>
      <c r="B16" s="5" t="s">
        <v>17</v>
      </c>
      <c r="C16" s="42">
        <f>345000+60100+71000+327000+1000</f>
        <v>804100</v>
      </c>
      <c r="D16" s="84">
        <f>318257+69511+58886+295406+479</f>
        <v>742539</v>
      </c>
      <c r="E16" s="73">
        <v>825275</v>
      </c>
      <c r="F16" s="34">
        <f t="shared" si="6"/>
        <v>-21175</v>
      </c>
      <c r="G16" s="42">
        <v>856725</v>
      </c>
      <c r="H16" s="71">
        <v>915261</v>
      </c>
      <c r="I16" s="65">
        <f>365543+64519+64749+326334-123</f>
        <v>821022</v>
      </c>
      <c r="J16" s="23">
        <f>256551+44232+40053+188453+229</f>
        <v>529518</v>
      </c>
      <c r="K16" s="42">
        <f>266819+40643+40870+185275</f>
        <v>533607</v>
      </c>
      <c r="L16" s="42">
        <f>233782+40008+34589+156730</f>
        <v>465109</v>
      </c>
      <c r="M16" s="51"/>
    </row>
    <row r="17" spans="1:13">
      <c r="A17" s="4">
        <v>13</v>
      </c>
      <c r="B17" s="5" t="s">
        <v>30</v>
      </c>
      <c r="C17" s="42">
        <v>13500</v>
      </c>
      <c r="D17" s="84">
        <v>10273</v>
      </c>
      <c r="E17" s="73">
        <v>15000</v>
      </c>
      <c r="F17" s="34">
        <f t="shared" si="6"/>
        <v>-1500</v>
      </c>
      <c r="G17" s="42">
        <v>13361</v>
      </c>
      <c r="H17" s="71">
        <v>13337</v>
      </c>
      <c r="I17" s="65">
        <v>10533</v>
      </c>
      <c r="J17" s="23">
        <v>6350</v>
      </c>
      <c r="K17" s="42">
        <v>2642</v>
      </c>
      <c r="L17" s="42">
        <v>0</v>
      </c>
      <c r="M17" s="51"/>
    </row>
    <row r="18" spans="1:13">
      <c r="A18" s="6">
        <v>14</v>
      </c>
      <c r="B18" s="5" t="s">
        <v>34</v>
      </c>
      <c r="C18" s="42">
        <f>91140-4680</f>
        <v>86460</v>
      </c>
      <c r="D18" s="84">
        <v>80165</v>
      </c>
      <c r="E18" s="73">
        <v>77000</v>
      </c>
      <c r="F18" s="34">
        <f t="shared" si="6"/>
        <v>9460</v>
      </c>
      <c r="G18" s="42">
        <v>71658</v>
      </c>
      <c r="H18" s="71">
        <v>76042</v>
      </c>
      <c r="I18" s="65">
        <v>91213</v>
      </c>
      <c r="J18" s="23">
        <v>77861</v>
      </c>
      <c r="K18" s="42">
        <v>75099</v>
      </c>
      <c r="L18" s="42">
        <v>53386</v>
      </c>
      <c r="M18" s="51"/>
    </row>
    <row r="19" spans="1:13">
      <c r="A19" s="6">
        <v>15</v>
      </c>
      <c r="B19" s="5" t="s">
        <v>20</v>
      </c>
      <c r="C19" s="42">
        <v>12000</v>
      </c>
      <c r="D19" s="84">
        <v>9405</v>
      </c>
      <c r="E19" s="73">
        <v>13500</v>
      </c>
      <c r="F19" s="34">
        <f t="shared" si="6"/>
        <v>-1500</v>
      </c>
      <c r="G19" s="42">
        <v>10794</v>
      </c>
      <c r="H19" s="71">
        <v>12807</v>
      </c>
      <c r="I19" s="65">
        <v>12062</v>
      </c>
      <c r="J19" s="23">
        <v>14668</v>
      </c>
      <c r="K19" s="42">
        <v>15046</v>
      </c>
      <c r="L19" s="42">
        <v>8710</v>
      </c>
      <c r="M19" s="51"/>
    </row>
    <row r="20" spans="1:13">
      <c r="A20" s="4">
        <v>16</v>
      </c>
      <c r="B20" s="5" t="s">
        <v>21</v>
      </c>
      <c r="C20" s="42">
        <v>11000</v>
      </c>
      <c r="D20" s="84">
        <v>8883</v>
      </c>
      <c r="E20" s="73">
        <v>11500</v>
      </c>
      <c r="F20" s="34">
        <f t="shared" si="6"/>
        <v>-500</v>
      </c>
      <c r="G20" s="42">
        <v>10692</v>
      </c>
      <c r="H20" s="71">
        <v>9782</v>
      </c>
      <c r="I20" s="65">
        <v>7549</v>
      </c>
      <c r="J20" s="23">
        <v>5953</v>
      </c>
      <c r="K20" s="42">
        <v>5317</v>
      </c>
      <c r="L20" s="42">
        <v>4942</v>
      </c>
      <c r="M20" s="51"/>
    </row>
    <row r="21" spans="1:13">
      <c r="A21" s="6">
        <v>17</v>
      </c>
      <c r="B21" s="5" t="s">
        <v>22</v>
      </c>
      <c r="C21" s="42">
        <v>-20000</v>
      </c>
      <c r="D21" s="84">
        <v>-18220</v>
      </c>
      <c r="E21" s="73">
        <v>-20000</v>
      </c>
      <c r="F21" s="34">
        <f t="shared" si="6"/>
        <v>0</v>
      </c>
      <c r="G21" s="42">
        <v>-17243</v>
      </c>
      <c r="H21" s="71">
        <v>-16333</v>
      </c>
      <c r="I21" s="65">
        <v>-6564</v>
      </c>
      <c r="J21" s="23">
        <v>1973</v>
      </c>
      <c r="K21" s="42">
        <v>7492</v>
      </c>
      <c r="L21" s="42">
        <v>18282</v>
      </c>
      <c r="M21" s="51"/>
    </row>
    <row r="22" spans="1:13">
      <c r="A22" s="6">
        <v>18</v>
      </c>
      <c r="B22" s="5" t="s">
        <v>27</v>
      </c>
      <c r="C22" s="42">
        <v>7000</v>
      </c>
      <c r="D22" s="84">
        <v>5304</v>
      </c>
      <c r="E22" s="73">
        <v>7000</v>
      </c>
      <c r="F22" s="34">
        <f t="shared" si="6"/>
        <v>0</v>
      </c>
      <c r="G22" s="42">
        <v>7500</v>
      </c>
      <c r="H22" s="71">
        <v>6349</v>
      </c>
      <c r="I22" s="65">
        <v>8430</v>
      </c>
      <c r="J22" s="23">
        <v>4166</v>
      </c>
      <c r="K22" s="42">
        <v>7202</v>
      </c>
      <c r="L22" s="42">
        <v>0</v>
      </c>
      <c r="M22" s="51"/>
    </row>
    <row r="23" spans="1:13">
      <c r="A23" s="4">
        <v>19</v>
      </c>
      <c r="B23" s="8" t="s">
        <v>40</v>
      </c>
      <c r="C23" s="42">
        <v>52500</v>
      </c>
      <c r="D23" s="84">
        <f>39875+1306+565-57</f>
        <v>41689</v>
      </c>
      <c r="E23" s="73">
        <v>50000</v>
      </c>
      <c r="F23" s="34">
        <f t="shared" si="6"/>
        <v>2500</v>
      </c>
      <c r="G23" s="42">
        <v>54708</v>
      </c>
      <c r="H23" s="71">
        <v>81818</v>
      </c>
      <c r="I23" s="65">
        <f>72269+3508</f>
        <v>75777</v>
      </c>
      <c r="J23" s="23">
        <f>49470+1205</f>
        <v>50675</v>
      </c>
      <c r="K23" s="42">
        <v>32432</v>
      </c>
      <c r="L23" s="42">
        <v>26465</v>
      </c>
      <c r="M23" s="51"/>
    </row>
    <row r="24" spans="1:13">
      <c r="A24" s="6">
        <v>20</v>
      </c>
      <c r="B24" s="5" t="s">
        <v>8</v>
      </c>
      <c r="C24" s="42">
        <v>5400</v>
      </c>
      <c r="D24" s="84">
        <v>5400</v>
      </c>
      <c r="E24" s="73">
        <v>5000</v>
      </c>
      <c r="F24" s="34">
        <f t="shared" si="6"/>
        <v>400</v>
      </c>
      <c r="G24" s="42">
        <v>2397</v>
      </c>
      <c r="H24" s="71">
        <v>1985</v>
      </c>
      <c r="I24" s="65">
        <v>1890</v>
      </c>
      <c r="J24" s="23">
        <v>4194</v>
      </c>
      <c r="K24" s="42">
        <v>2236</v>
      </c>
      <c r="L24" s="42">
        <v>0</v>
      </c>
      <c r="M24" s="51"/>
    </row>
    <row r="25" spans="1:13">
      <c r="A25" s="6">
        <v>21</v>
      </c>
      <c r="B25" s="5" t="s">
        <v>31</v>
      </c>
      <c r="C25" s="42">
        <v>1500</v>
      </c>
      <c r="D25" s="84">
        <f>1808-14-106</f>
        <v>1688</v>
      </c>
      <c r="E25" s="73">
        <v>1500</v>
      </c>
      <c r="F25" s="34">
        <f t="shared" si="6"/>
        <v>0</v>
      </c>
      <c r="G25" s="42">
        <v>2297</v>
      </c>
      <c r="H25" s="71">
        <v>2763</v>
      </c>
      <c r="I25" s="65">
        <v>1280</v>
      </c>
      <c r="J25" s="23">
        <v>1197</v>
      </c>
      <c r="K25" s="42">
        <v>2148</v>
      </c>
      <c r="L25" s="42">
        <v>3781</v>
      </c>
      <c r="M25" s="51"/>
    </row>
    <row r="26" spans="1:13">
      <c r="A26" s="4">
        <v>22</v>
      </c>
      <c r="B26" s="5" t="s">
        <v>16</v>
      </c>
      <c r="C26" s="42">
        <v>1350</v>
      </c>
      <c r="D26" s="84">
        <v>1008</v>
      </c>
      <c r="E26" s="73">
        <v>1500</v>
      </c>
      <c r="F26" s="34">
        <f t="shared" si="6"/>
        <v>-150</v>
      </c>
      <c r="G26" s="42">
        <v>1117</v>
      </c>
      <c r="H26" s="71">
        <v>1027</v>
      </c>
      <c r="I26" s="65">
        <v>1477</v>
      </c>
      <c r="J26" s="23">
        <v>2056</v>
      </c>
      <c r="K26" s="42">
        <v>3508</v>
      </c>
      <c r="L26" s="42">
        <v>1675</v>
      </c>
      <c r="M26" s="51"/>
    </row>
    <row r="27" spans="1:13">
      <c r="A27" s="6">
        <v>23</v>
      </c>
      <c r="B27" s="5" t="s">
        <v>10</v>
      </c>
      <c r="C27" s="42">
        <v>4500</v>
      </c>
      <c r="D27" s="84">
        <f>1860+1601</f>
        <v>3461</v>
      </c>
      <c r="E27" s="73">
        <v>5000</v>
      </c>
      <c r="F27" s="34">
        <f t="shared" si="6"/>
        <v>-500</v>
      </c>
      <c r="G27" s="42">
        <v>8589</v>
      </c>
      <c r="H27" s="71">
        <v>8848</v>
      </c>
      <c r="I27" s="65">
        <f>3213+5670</f>
        <v>8883</v>
      </c>
      <c r="J27" s="23">
        <f>4993+6317</f>
        <v>11310</v>
      </c>
      <c r="K27" s="42">
        <f>5063+8972</f>
        <v>14035</v>
      </c>
      <c r="L27" s="42">
        <f>4145+4566</f>
        <v>8711</v>
      </c>
      <c r="M27" s="51"/>
    </row>
    <row r="28" spans="1:13">
      <c r="A28" s="6">
        <v>24</v>
      </c>
      <c r="B28" s="5" t="s">
        <v>2</v>
      </c>
      <c r="C28" s="42">
        <v>13000</v>
      </c>
      <c r="D28" s="84">
        <v>10774</v>
      </c>
      <c r="E28" s="73">
        <v>15500</v>
      </c>
      <c r="F28" s="34">
        <f t="shared" si="6"/>
        <v>-2500</v>
      </c>
      <c r="G28" s="42">
        <v>15155</v>
      </c>
      <c r="H28" s="71">
        <v>16366</v>
      </c>
      <c r="I28" s="65">
        <v>13937</v>
      </c>
      <c r="J28" s="23">
        <v>15372</v>
      </c>
      <c r="K28" s="42">
        <v>15701</v>
      </c>
      <c r="L28" s="42">
        <v>13244</v>
      </c>
      <c r="M28" s="51"/>
    </row>
    <row r="29" spans="1:13">
      <c r="A29" s="4">
        <v>25</v>
      </c>
      <c r="B29" s="5" t="s">
        <v>9</v>
      </c>
      <c r="C29" s="42">
        <v>2000</v>
      </c>
      <c r="D29" s="84">
        <v>1666</v>
      </c>
      <c r="E29" s="73">
        <v>2000</v>
      </c>
      <c r="F29" s="34">
        <f t="shared" si="6"/>
        <v>0</v>
      </c>
      <c r="G29" s="42">
        <v>1999</v>
      </c>
      <c r="H29" s="71">
        <v>2832</v>
      </c>
      <c r="I29" s="65">
        <f>138+4741</f>
        <v>4879</v>
      </c>
      <c r="J29" s="23">
        <f>953+5820</f>
        <v>6773</v>
      </c>
      <c r="K29" s="42">
        <v>3985</v>
      </c>
      <c r="L29" s="42">
        <f>1195+2326</f>
        <v>3521</v>
      </c>
      <c r="M29" s="51"/>
    </row>
    <row r="30" spans="1:13">
      <c r="A30" s="6">
        <v>26</v>
      </c>
      <c r="B30" s="5" t="s">
        <v>32</v>
      </c>
      <c r="C30" s="42">
        <f>5250+4220</f>
        <v>9470</v>
      </c>
      <c r="D30" s="84">
        <f>4750+3750+3125</f>
        <v>11625</v>
      </c>
      <c r="E30" s="73">
        <v>12550</v>
      </c>
      <c r="F30" s="34">
        <f t="shared" si="6"/>
        <v>-3080</v>
      </c>
      <c r="G30" s="42">
        <v>12600</v>
      </c>
      <c r="H30" s="71">
        <v>13691</v>
      </c>
      <c r="I30" s="65">
        <f>6125+4125+3060</f>
        <v>13310</v>
      </c>
      <c r="J30" s="23">
        <f>5625+3750+3750</f>
        <v>13125</v>
      </c>
      <c r="K30" s="42">
        <f>5775+4950+3060</f>
        <v>13785</v>
      </c>
      <c r="L30" s="42">
        <f>5715+5429+3442</f>
        <v>14586</v>
      </c>
      <c r="M30" s="51"/>
    </row>
    <row r="31" spans="1:13">
      <c r="A31" s="6">
        <v>27</v>
      </c>
      <c r="B31" s="5" t="s">
        <v>28</v>
      </c>
      <c r="C31" s="42">
        <v>1000</v>
      </c>
      <c r="D31" s="84">
        <f>642+441</f>
        <v>1083</v>
      </c>
      <c r="E31" s="73">
        <v>1000</v>
      </c>
      <c r="F31" s="34">
        <f t="shared" si="6"/>
        <v>0</v>
      </c>
      <c r="G31" s="42">
        <v>871</v>
      </c>
      <c r="H31" s="71">
        <v>846</v>
      </c>
      <c r="I31" s="65">
        <f>1070+1137</f>
        <v>2207</v>
      </c>
      <c r="J31" s="23">
        <v>0</v>
      </c>
      <c r="K31" s="42">
        <v>5662</v>
      </c>
      <c r="L31" s="42">
        <v>2558</v>
      </c>
      <c r="M31" s="51"/>
    </row>
    <row r="32" spans="1:13">
      <c r="A32" s="4">
        <v>28</v>
      </c>
      <c r="B32" s="5" t="s">
        <v>29</v>
      </c>
      <c r="C32" s="42">
        <v>0</v>
      </c>
      <c r="D32" s="84">
        <v>0</v>
      </c>
      <c r="E32" s="73">
        <v>0</v>
      </c>
      <c r="F32" s="34">
        <f t="shared" si="6"/>
        <v>0</v>
      </c>
      <c r="G32" s="42">
        <v>0</v>
      </c>
      <c r="H32" s="71">
        <v>0</v>
      </c>
      <c r="I32" s="65">
        <v>0</v>
      </c>
      <c r="J32" s="23">
        <v>1082</v>
      </c>
      <c r="K32" s="42">
        <v>3534</v>
      </c>
      <c r="L32" s="42">
        <v>737</v>
      </c>
      <c r="M32" s="51"/>
    </row>
    <row r="33" spans="1:13" hidden="1">
      <c r="A33" s="6">
        <v>29</v>
      </c>
      <c r="B33" s="5" t="s">
        <v>33</v>
      </c>
      <c r="C33" s="42">
        <v>0</v>
      </c>
      <c r="D33" s="84">
        <v>0</v>
      </c>
      <c r="E33" s="73">
        <v>0</v>
      </c>
      <c r="F33" s="34">
        <f t="shared" si="6"/>
        <v>0</v>
      </c>
      <c r="G33" s="42">
        <v>0</v>
      </c>
      <c r="H33" s="71">
        <v>0</v>
      </c>
      <c r="I33" s="65">
        <v>0</v>
      </c>
      <c r="J33" s="23">
        <v>18</v>
      </c>
      <c r="K33" s="42">
        <f>53+979</f>
        <v>1032</v>
      </c>
      <c r="L33" s="42">
        <v>824</v>
      </c>
      <c r="M33" s="51"/>
    </row>
    <row r="34" spans="1:13">
      <c r="A34" s="6">
        <v>29</v>
      </c>
      <c r="B34" s="5" t="s">
        <v>42</v>
      </c>
      <c r="C34" s="42">
        <v>19500</v>
      </c>
      <c r="D34" s="84">
        <v>17900</v>
      </c>
      <c r="E34" s="73">
        <v>17900</v>
      </c>
      <c r="F34" s="34">
        <f t="shared" si="6"/>
        <v>1600</v>
      </c>
      <c r="G34" s="42">
        <v>17500</v>
      </c>
      <c r="H34" s="71">
        <v>17500</v>
      </c>
      <c r="I34" s="65">
        <v>19600</v>
      </c>
      <c r="J34" s="23">
        <v>16600</v>
      </c>
      <c r="K34" s="42">
        <f>12750+1470</f>
        <v>14220</v>
      </c>
      <c r="L34" s="42">
        <v>1269</v>
      </c>
      <c r="M34" s="51"/>
    </row>
    <row r="35" spans="1:13">
      <c r="A35" s="4">
        <v>30</v>
      </c>
      <c r="B35" s="8" t="s">
        <v>13</v>
      </c>
      <c r="C35" s="42">
        <v>0</v>
      </c>
      <c r="D35" s="84">
        <v>0</v>
      </c>
      <c r="E35" s="73">
        <v>0</v>
      </c>
      <c r="F35" s="34">
        <f t="shared" si="6"/>
        <v>0</v>
      </c>
      <c r="G35" s="42">
        <v>0</v>
      </c>
      <c r="H35" s="71">
        <v>0</v>
      </c>
      <c r="I35" s="65">
        <v>4571</v>
      </c>
      <c r="J35" s="23">
        <v>8475</v>
      </c>
      <c r="K35" s="42">
        <v>22493</v>
      </c>
      <c r="L35" s="42">
        <v>18850</v>
      </c>
      <c r="M35" s="51"/>
    </row>
    <row r="36" spans="1:13">
      <c r="A36" s="6">
        <v>31</v>
      </c>
      <c r="B36" s="5" t="s">
        <v>4</v>
      </c>
      <c r="C36" s="42">
        <v>4500</v>
      </c>
      <c r="D36" s="84">
        <v>3720</v>
      </c>
      <c r="E36" s="73">
        <v>3720</v>
      </c>
      <c r="F36" s="34">
        <f t="shared" si="6"/>
        <v>780</v>
      </c>
      <c r="G36" s="42">
        <v>4054</v>
      </c>
      <c r="H36" s="71">
        <v>4627</v>
      </c>
      <c r="I36" s="65">
        <v>4896</v>
      </c>
      <c r="J36" s="23">
        <v>3400</v>
      </c>
      <c r="K36" s="42">
        <v>3717</v>
      </c>
      <c r="L36" s="42">
        <v>4524</v>
      </c>
      <c r="M36" s="51"/>
    </row>
    <row r="37" spans="1:13">
      <c r="A37" s="6">
        <v>32</v>
      </c>
      <c r="B37" s="5" t="s">
        <v>3</v>
      </c>
      <c r="C37" s="42">
        <v>1000</v>
      </c>
      <c r="D37" s="84">
        <v>0</v>
      </c>
      <c r="E37" s="73">
        <v>1000</v>
      </c>
      <c r="F37" s="34">
        <f t="shared" si="6"/>
        <v>0</v>
      </c>
      <c r="G37" s="42">
        <v>90</v>
      </c>
      <c r="H37" s="71">
        <v>996</v>
      </c>
      <c r="I37" s="65">
        <v>309</v>
      </c>
      <c r="J37" s="23">
        <f>114</f>
        <v>114</v>
      </c>
      <c r="K37" s="42">
        <f>7282-1470</f>
        <v>5812</v>
      </c>
      <c r="L37" s="42">
        <v>0</v>
      </c>
      <c r="M37" s="51"/>
    </row>
    <row r="38" spans="1:13">
      <c r="A38" s="12">
        <v>33</v>
      </c>
      <c r="B38" s="5" t="s">
        <v>14</v>
      </c>
      <c r="C38" s="86">
        <v>2400</v>
      </c>
      <c r="D38" s="84">
        <v>2500</v>
      </c>
      <c r="E38" s="75">
        <v>3000</v>
      </c>
      <c r="F38" s="34">
        <f t="shared" si="6"/>
        <v>-600</v>
      </c>
      <c r="G38" s="42">
        <v>3000</v>
      </c>
      <c r="H38" s="71">
        <v>3173</v>
      </c>
      <c r="I38" s="65">
        <v>3000</v>
      </c>
      <c r="J38" s="23">
        <v>3878</v>
      </c>
      <c r="K38" s="42">
        <v>0</v>
      </c>
      <c r="L38" s="42">
        <v>76</v>
      </c>
      <c r="M38" s="51"/>
    </row>
    <row r="39" spans="1:13">
      <c r="A39" s="14">
        <v>34</v>
      </c>
      <c r="B39" s="13" t="s">
        <v>11</v>
      </c>
      <c r="C39" s="44">
        <f>SUM(C12:C38)</f>
        <v>1602875</v>
      </c>
      <c r="D39" s="26">
        <f t="shared" ref="D39:L39" si="7">SUM(D12:D38)</f>
        <v>1416160</v>
      </c>
      <c r="E39" s="37">
        <f>SUM(E12:E38)</f>
        <v>1625435</v>
      </c>
      <c r="F39" s="27">
        <f t="shared" si="7"/>
        <v>-22560</v>
      </c>
      <c r="G39" s="56">
        <f t="shared" si="7"/>
        <v>1636191</v>
      </c>
      <c r="H39" s="26">
        <f t="shared" ref="H39:I39" si="8">SUM(H12:H38)</f>
        <v>1697761</v>
      </c>
      <c r="I39" s="26">
        <f t="shared" si="8"/>
        <v>1583715</v>
      </c>
      <c r="J39" s="26">
        <f t="shared" ref="J39" si="9">SUM(J12:J38)</f>
        <v>1266746</v>
      </c>
      <c r="K39" s="56">
        <f t="shared" si="7"/>
        <v>1258564</v>
      </c>
      <c r="L39" s="56">
        <f t="shared" si="7"/>
        <v>1049346</v>
      </c>
      <c r="M39" s="53"/>
    </row>
    <row r="40" spans="1:13">
      <c r="A40" s="14">
        <v>35</v>
      </c>
      <c r="B40" s="7" t="s">
        <v>24</v>
      </c>
      <c r="C40" s="43">
        <f>C11-C39</f>
        <v>60</v>
      </c>
      <c r="D40" s="24">
        <f t="shared" ref="D40:L40" si="10">D11-D39</f>
        <v>-16710</v>
      </c>
      <c r="E40" s="36">
        <f>E11-E39</f>
        <v>-52085</v>
      </c>
      <c r="F40" s="25">
        <f t="shared" si="10"/>
        <v>52145</v>
      </c>
      <c r="G40" s="48">
        <f t="shared" ref="G40" si="11">G11-G39</f>
        <v>28265</v>
      </c>
      <c r="H40" s="24">
        <f t="shared" si="10"/>
        <v>-4658</v>
      </c>
      <c r="I40" s="24">
        <f t="shared" ref="I40" si="12">I11-I39</f>
        <v>-170505</v>
      </c>
      <c r="J40" s="24">
        <f t="shared" si="10"/>
        <v>-307920</v>
      </c>
      <c r="K40" s="48">
        <f t="shared" si="10"/>
        <v>-346185</v>
      </c>
      <c r="L40" s="48">
        <f t="shared" si="10"/>
        <v>-243770</v>
      </c>
      <c r="M40" s="53"/>
    </row>
    <row r="41" spans="1:13">
      <c r="A41" s="14">
        <v>36</v>
      </c>
      <c r="B41" s="7" t="s">
        <v>37</v>
      </c>
      <c r="C41" s="43">
        <v>0</v>
      </c>
      <c r="D41" s="24">
        <v>0</v>
      </c>
      <c r="E41" s="36">
        <v>0</v>
      </c>
      <c r="F41" s="34">
        <f t="shared" ref="F41" si="13">C41-E41</f>
        <v>0</v>
      </c>
      <c r="G41" s="48">
        <v>0</v>
      </c>
      <c r="H41" s="24">
        <v>0</v>
      </c>
      <c r="I41" s="24">
        <v>100000</v>
      </c>
      <c r="J41" s="24">
        <v>300000</v>
      </c>
      <c r="K41" s="48">
        <v>300000</v>
      </c>
      <c r="L41" s="48">
        <v>250000</v>
      </c>
      <c r="M41" s="53"/>
    </row>
    <row r="42" spans="1:13" ht="16.5" thickBot="1">
      <c r="A42" s="33">
        <v>37</v>
      </c>
      <c r="B42" s="9" t="s">
        <v>23</v>
      </c>
      <c r="C42" s="45">
        <f>SUM(C40:C41)</f>
        <v>60</v>
      </c>
      <c r="D42" s="28">
        <f t="shared" ref="D42:K42" si="14">SUM(D40:D41)</f>
        <v>-16710</v>
      </c>
      <c r="E42" s="38">
        <f>SUM(E40:E41)</f>
        <v>-52085</v>
      </c>
      <c r="F42" s="29">
        <f t="shared" si="14"/>
        <v>52145</v>
      </c>
      <c r="G42" s="57">
        <f t="shared" si="14"/>
        <v>28265</v>
      </c>
      <c r="H42" s="28">
        <f t="shared" ref="H42:I42" si="15">SUM(H40:H41)</f>
        <v>-4658</v>
      </c>
      <c r="I42" s="28">
        <f t="shared" si="15"/>
        <v>-70505</v>
      </c>
      <c r="J42" s="28">
        <f t="shared" ref="J42" si="16">SUM(J40:J41)</f>
        <v>-7920</v>
      </c>
      <c r="K42" s="57">
        <f t="shared" si="14"/>
        <v>-46185</v>
      </c>
      <c r="L42" s="57">
        <f>SUM(L40:L41)</f>
        <v>6230</v>
      </c>
      <c r="M42" s="53"/>
    </row>
    <row r="43" spans="1:13" ht="16.5" thickTop="1">
      <c r="A43" s="1"/>
      <c r="B43" s="2"/>
      <c r="C43" s="46"/>
      <c r="D43" s="30"/>
      <c r="E43" s="19"/>
      <c r="F43" s="31"/>
      <c r="G43" s="46"/>
      <c r="H43" s="30"/>
      <c r="I43" s="30"/>
      <c r="J43" s="30"/>
      <c r="K43" s="46"/>
      <c r="L43" s="46"/>
      <c r="M43" s="54"/>
    </row>
    <row r="44" spans="1:13">
      <c r="A44" s="15">
        <v>38</v>
      </c>
      <c r="B44" s="7" t="s">
        <v>12</v>
      </c>
      <c r="C44" s="43">
        <f>M11</f>
        <v>14345000</v>
      </c>
      <c r="D44" s="24">
        <f>O11</f>
        <v>12352874</v>
      </c>
      <c r="E44" s="36">
        <f>N11</f>
        <v>15005000</v>
      </c>
      <c r="F44" s="85">
        <f t="shared" ref="F44" si="17">C44-E44</f>
        <v>-660000</v>
      </c>
      <c r="G44" s="48">
        <v>15222355</v>
      </c>
      <c r="H44" s="24">
        <v>14989910</v>
      </c>
      <c r="I44" s="24">
        <v>13891511</v>
      </c>
      <c r="J44" s="24">
        <v>9403796</v>
      </c>
      <c r="K44" s="48">
        <f>5292455+3139744+223792+863485</f>
        <v>9519476</v>
      </c>
      <c r="L44" s="48">
        <v>8657553</v>
      </c>
      <c r="M44" s="53"/>
    </row>
    <row r="45" spans="1:13">
      <c r="A45" s="14">
        <v>39</v>
      </c>
      <c r="B45" s="10" t="s">
        <v>38</v>
      </c>
      <c r="C45" s="47">
        <f>ROUND(C39/C44,4)</f>
        <v>0.11169999999999999</v>
      </c>
      <c r="D45" s="32">
        <f>ROUND(D39/D44,4)</f>
        <v>0.11459999999999999</v>
      </c>
      <c r="E45" s="39">
        <f>ROUND(E39/E44,4)</f>
        <v>0.10829999999999999</v>
      </c>
      <c r="F45" s="31"/>
      <c r="G45" s="58">
        <f t="shared" ref="G45:L45" si="18">ROUND(G39/G44,4)</f>
        <v>0.1075</v>
      </c>
      <c r="H45" s="32">
        <f t="shared" si="18"/>
        <v>0.1133</v>
      </c>
      <c r="I45" s="32">
        <f t="shared" si="18"/>
        <v>0.114</v>
      </c>
      <c r="J45" s="32">
        <f t="shared" si="18"/>
        <v>0.13469999999999999</v>
      </c>
      <c r="K45" s="58">
        <f t="shared" si="18"/>
        <v>0.13220000000000001</v>
      </c>
      <c r="L45" s="58">
        <f t="shared" si="18"/>
        <v>0.1212</v>
      </c>
      <c r="M45" s="55"/>
    </row>
    <row r="46" spans="1:13">
      <c r="A46" s="16">
        <v>40</v>
      </c>
      <c r="B46" s="10" t="s">
        <v>39</v>
      </c>
      <c r="C46" s="47">
        <f>ROUND(C16/C44,4)</f>
        <v>5.6099999999999997E-2</v>
      </c>
      <c r="D46" s="32">
        <f>ROUND(D16/D44,4)</f>
        <v>6.0100000000000001E-2</v>
      </c>
      <c r="E46" s="39">
        <f>ROUND(E16/E44,4)</f>
        <v>5.5E-2</v>
      </c>
      <c r="F46" s="31"/>
      <c r="G46" s="58">
        <f t="shared" ref="G46:L46" si="19">ROUND(G16/G44,4)</f>
        <v>5.6300000000000003E-2</v>
      </c>
      <c r="H46" s="32">
        <f t="shared" si="19"/>
        <v>6.1100000000000002E-2</v>
      </c>
      <c r="I46" s="32">
        <f t="shared" si="19"/>
        <v>5.91E-2</v>
      </c>
      <c r="J46" s="32">
        <f t="shared" si="19"/>
        <v>5.6300000000000003E-2</v>
      </c>
      <c r="K46" s="58">
        <f t="shared" si="19"/>
        <v>5.6099999999999997E-2</v>
      </c>
      <c r="L46" s="58">
        <f t="shared" si="19"/>
        <v>5.3699999999999998E-2</v>
      </c>
      <c r="M46" s="55"/>
    </row>
  </sheetData>
  <phoneticPr fontId="7" type="noConversion"/>
  <printOptions horizontalCentered="1" verticalCentered="1"/>
  <pageMargins left="0" right="0" top="0.5" bottom="0.25" header="0" footer="0.5"/>
  <pageSetup orientation="portrait" r:id="rId1"/>
  <headerFooter alignWithMargins="0">
    <oddHeader>&amp;CLongleaf Services, Inc.
FY14 Budget Approved by Longleaf Board of Directors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</dc:creator>
  <cp:lastModifiedBy>Lenovo User</cp:lastModifiedBy>
  <cp:lastPrinted>2013-05-15T17:46:26Z</cp:lastPrinted>
  <dcterms:created xsi:type="dcterms:W3CDTF">2007-01-25T19:46:36Z</dcterms:created>
  <dcterms:modified xsi:type="dcterms:W3CDTF">2013-05-15T17:46:47Z</dcterms:modified>
</cp:coreProperties>
</file>